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<sst xmlns="http://schemas.openxmlformats.org/spreadsheetml/2006/main" count="127" uniqueCount="117">
  <si>
    <t>2025年10月南阳市市本级公益性岗位补贴申请汇总表</t>
  </si>
  <si>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</si>
  <si>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</si>
  <si>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</si>
  <si>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</si>
  <si>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</si>
  <si>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</si>
  <si>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</si>
  <si>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</si>
  <si>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备注</t>
  </si>
  <si>
    <t>单位缴纳
养老保险</t>
  </si>
  <si>
    <t>单位缴纳养老保险补缴（补缴金额*补缴月份）</t>
  </si>
  <si>
    <t>单位缴纳失业保险</t>
  </si>
  <si>
    <t>单位缴纳失业保险补缴（补缴金额*补缴月份）</t>
  </si>
  <si>
    <t>单位缴纳
医疗保险</t>
  </si>
  <si>
    <t>单位缴纳医疗保险补缴（补缴金额*补缴月份）</t>
  </si>
  <si>
    <t>工伤保险</t>
  </si>
  <si>
    <t>工伤保险补缴（补缴金额*补缴月份）</t>
  </si>
  <si>
    <t>补贴金额合计</t>
  </si>
  <si>
    <t>个人缴纳
养老</t>
  </si>
  <si>
    <t>个人缴纳养老保险补缴（补缴金额*补缴月份）</t>
  </si>
  <si>
    <t>个人缴纳
失业</t>
  </si>
  <si>
    <t>个人缴纳失业保险补缴（补缴金额*补缴月份）</t>
  </si>
  <si>
    <t>个人缴纳医保</t>
  </si>
  <si>
    <t>个人缴纳医疗保险补缴（补缴金额*补缴月份）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</si>
  <si>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</si>
  <si>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</si>
  <si>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</si>
  <si>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</si>
  <si>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</si>
  <si>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</si>
  <si>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</si>
  <si>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</si>
  <si>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</si>
  <si>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</si>
  <si>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</si>
  <si>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</si>
  <si>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</si>
  <si>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</si>
  <si>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</si>
  <si>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</si>
  <si>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</si>
  <si>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</si>
  <si>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</si>
  <si>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</si>
  <si>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</si>
  <si>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</si>
  <si>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</si>
  <si>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</si>
  <si>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</si>
  <si>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</si>
  <si>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</si>
  <si>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</si>
  <si>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</si>
  <si>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</si>
  <si>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</si>
  <si>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</si>
  <si>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</si>
  <si>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</si>
  <si>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</si>
  <si>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</si>
  <si>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</si>
  <si>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</si>
  <si>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</si>
  <si>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</si>
  <si>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</si>
  <si>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</si>
  <si>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</si>
  <si>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</si>
  <si>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南阳市第一军队离休干部休养所</t>
  </si>
  <si>
    <t>张仲景博物院</t>
  </si>
  <si>
    <t>中共南阳市委组织部</t>
  </si>
  <si>
    <t>南阳市档案馆</t>
  </si>
  <si>
    <t>此月未补收差额</t>
  </si>
  <si>
    <t>南阳市财政局</t>
  </si>
  <si>
    <t>中共南阳市委机要保密局</t>
  </si>
  <si>
    <t>南阳市卫生健康体育综合执法支队（南阳市卫生计生监督局）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</si>
  <si>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</si>
  <si>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</si>
  <si>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</si>
  <si>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</si>
  <si>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</si>
  <si>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</si>
  <si>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</si>
  <si>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</si>
  <si>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</si>
  <si>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</si>
  <si>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</si>
  <si>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</si>
  <si>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</si>
  <si>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</si>
  <si>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</si>
  <si>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</si>
  <si>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</si>
  <si>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</si>
  <si>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</si>
  <si>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此月未申请补收差额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</si>
  <si>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</si>
  <si>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</si>
  <si>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</si>
  <si>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</si>
  <si>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</si>
  <si>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</si>
  <si>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</si>
  <si>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</si>
  <si>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</si>
  <si>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中共南阳市委社会工作部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</si>
  <si>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</si>
  <si>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</si>
  <si>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</si>
  <si>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</si>
  <si>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未申请7-9社保补差，10月按新标准</t>
  </si>
  <si>
    <t>南阳市城乡一体化示范区姜营街道劳动保障事务所</t>
  </si>
  <si>
    <t>国家统计局南阳调查队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</si>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</sst>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176" fontId="2" fillId="0" borderId="5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7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2"/>
  <sheetViews>
    <sheetView tabSelected="1" view="pageBreakPreview" zoomScaleNormal="100" workbookViewId="0">
      <selection activeCell="Y3" sqref="Y3"/>
    </sheetView>
  </sheetViews>
  <sheetFormatPr defaultColWidth="9" defaultRowHeight="13.5"/>
  <cols>
    <col min="1" max="1" width="9" style="2"/>
    <col min="2" max="2" width="36.625" style="3" customWidth="1"/>
    <col min="3" max="3" width="7" style="2" customWidth="1"/>
    <col min="4" max="4" width="8.90833333333333" style="2" customWidth="1"/>
    <col min="5" max="5" width="10.375" style="4" customWidth="1"/>
    <col min="6" max="6" width="8.58333333333333" style="4" customWidth="1"/>
    <col min="7" max="7" width="9.375" style="4" customWidth="1"/>
    <col min="8" max="8" width="7.275" style="4" customWidth="1"/>
    <col min="9" max="9" width="10.375" style="4" customWidth="1"/>
    <col min="10" max="10" width="9.55833333333333" style="4" customWidth="1"/>
    <col min="11" max="11" width="8.8" style="4" customWidth="1"/>
    <col min="12" max="12" width="8.90833333333333" style="4" customWidth="1"/>
    <col min="13" max="14" width="10.375" style="4" customWidth="1"/>
    <col min="15" max="15" width="8.8" style="4" customWidth="1"/>
    <col min="16" max="16" width="9.89166666666667" style="4" customWidth="1"/>
    <col min="17" max="17" width="8.475" style="4" customWidth="1"/>
    <col min="18" max="18" width="9.66666666666667" style="4" customWidth="1"/>
    <col min="19" max="19" width="8.7" style="4" customWidth="1"/>
    <col min="20" max="20" width="11.3" style="4" customWidth="1"/>
    <col min="21" max="21" width="12.8583333333333" style="4" customWidth="1"/>
    <col min="22" max="22" width="9.23333333333333" style="4" customWidth="1"/>
    <col min="23" max="23" width="12.3166666666667" style="4" customWidth="1"/>
    <col min="24" max="24" width="9.375" style="4" customWidth="1"/>
    <col min="25" max="25" width="10.5333333333333" style="4" customWidth="1"/>
    <col min="26" max="26" width="10.375" style="4" customWidth="1"/>
    <col min="27" max="27" width="8.80833333333333" style="4" customWidth="1"/>
    <col min="28" max="28" width="10.175" style="4" customWidth="1"/>
    <col min="29" max="29" width="12.3916666666667" style="4" customWidth="1"/>
    <col min="30" max="30" width="12.625" style="4" customWidth="1"/>
    <col min="31" max="31" width="15.5416666666667" style="4" customWidth="1"/>
    <col min="32" max="32" width="12" style="1" customWidth="1"/>
    <col min="33" max="16381" width="9" style="1"/>
  </cols>
  <sheetData>
    <row r="1" ht="32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44" customHeight="1" spans="1:32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0"/>
      <c r="H2" s="10"/>
      <c r="I2" s="10"/>
      <c r="J2" s="10"/>
      <c r="K2" s="10"/>
      <c r="L2" s="10"/>
      <c r="M2" s="11"/>
      <c r="N2" s="12" t="s">
        <v>6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 t="s">
        <v>7</v>
      </c>
      <c r="AE2" s="14" t="s">
        <v>8</v>
      </c>
      <c r="AF2" s="15" t="s">
        <v>9</v>
      </c>
    </row>
    <row r="3" s="1" customFormat="1" ht="61" customHeight="1" spans="1:32">
      <c r="A3" s="8"/>
      <c r="B3" s="8"/>
      <c r="C3" s="16"/>
      <c r="D3" s="17"/>
      <c r="E3" s="18" t="s">
        <v>10</v>
      </c>
      <c r="F3" s="18" t="s">
        <v>11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3" t="s">
        <v>10</v>
      </c>
      <c r="O3" s="18" t="s">
        <v>11</v>
      </c>
      <c r="P3" s="13" t="s">
        <v>12</v>
      </c>
      <c r="Q3" s="18" t="s">
        <v>13</v>
      </c>
      <c r="R3" s="13" t="s">
        <v>14</v>
      </c>
      <c r="S3" s="18" t="s">
        <v>15</v>
      </c>
      <c r="T3" s="13" t="s">
        <v>19</v>
      </c>
      <c r="U3" s="18" t="s">
        <v>20</v>
      </c>
      <c r="V3" s="13" t="s">
        <v>21</v>
      </c>
      <c r="W3" s="18" t="s">
        <v>22</v>
      </c>
      <c r="X3" s="13" t="s">
        <v>23</v>
      </c>
      <c r="Y3" s="18" t="s">
        <v>24</v>
      </c>
      <c r="Z3" s="13" t="s">
        <v>25</v>
      </c>
      <c r="AA3" s="13" t="s">
        <v>16</v>
      </c>
      <c r="AB3" s="18" t="s">
        <v>17</v>
      </c>
      <c r="AC3" s="13" t="s">
        <v>26</v>
      </c>
      <c r="AD3" s="19"/>
      <c r="AE3" s="14"/>
      <c r="AF3" s="20"/>
    </row>
    <row r="4" s="1" customFormat="1" ht="40" customHeight="1" spans="1:32">
      <c r="A4" s="21">
        <v>1</v>
      </c>
      <c r="B4" s="22" t="s">
        <v>27</v>
      </c>
      <c r="C4" s="21">
        <v>14</v>
      </c>
      <c r="D4" s="21">
        <f t="shared" ref="D4:D67" si="0">2100*C4</f>
        <v>29400</v>
      </c>
      <c r="E4" s="23">
        <f t="shared" ref="E4:E15" si="1">600.96*C4</f>
        <v>8413.44</v>
      </c>
      <c r="F4" s="23">
        <v>708</v>
      </c>
      <c r="G4" s="23">
        <f t="shared" ref="G4:G15" si="2">26.29*C4</f>
        <v>368.06</v>
      </c>
      <c r="H4" s="23">
        <v>31.27</v>
      </c>
      <c r="I4" s="23">
        <f t="shared" ref="I4:I15" si="3">300.48*C4</f>
        <v>4206.72</v>
      </c>
      <c r="J4" s="23">
        <v>354</v>
      </c>
      <c r="K4" s="23">
        <f t="shared" ref="K4:K15" si="4">6.01*C4</f>
        <v>84.14</v>
      </c>
      <c r="L4" s="23">
        <v>7.08</v>
      </c>
      <c r="M4" s="23">
        <f t="shared" ref="M4:M67" si="5">SUM(E4:L4)</f>
        <v>14172.71</v>
      </c>
      <c r="N4" s="23">
        <f t="shared" ref="N4:S4" si="6">E4</f>
        <v>8413.44</v>
      </c>
      <c r="O4" s="23">
        <f t="shared" si="6"/>
        <v>708</v>
      </c>
      <c r="P4" s="23">
        <f t="shared" si="6"/>
        <v>368.06</v>
      </c>
      <c r="Q4" s="23">
        <f t="shared" si="6"/>
        <v>31.27</v>
      </c>
      <c r="R4" s="23">
        <f t="shared" si="6"/>
        <v>4206.72</v>
      </c>
      <c r="S4" s="23">
        <f t="shared" si="6"/>
        <v>354</v>
      </c>
      <c r="T4" s="23">
        <f t="shared" ref="T4:T15" si="7">300.48*C4</f>
        <v>4206.72</v>
      </c>
      <c r="U4" s="23">
        <f t="shared" ref="U4:U10" si="8">6*C4*4</f>
        <v>336</v>
      </c>
      <c r="V4" s="23">
        <f t="shared" ref="V4:V15" si="9">11.27*C4</f>
        <v>157.78</v>
      </c>
      <c r="W4" s="23">
        <f t="shared" ref="W4:W10" si="10">0.22*4*C4</f>
        <v>12.32</v>
      </c>
      <c r="X4" s="23">
        <f t="shared" ref="X4:X15" si="11">75.12*C4</f>
        <v>1051.68</v>
      </c>
      <c r="Y4" s="23">
        <f t="shared" ref="Y4:Y10" si="12">1.5*4*C4</f>
        <v>84</v>
      </c>
      <c r="Z4" s="23">
        <v>0</v>
      </c>
      <c r="AA4" s="23">
        <f t="shared" ref="AA4:AA67" si="13">K4</f>
        <v>84.14</v>
      </c>
      <c r="AB4" s="23">
        <f t="shared" ref="AB4:AB67" si="14">L4</f>
        <v>7.08</v>
      </c>
      <c r="AC4" s="23">
        <f t="shared" ref="AC4:AC67" si="15">SUM(N4:AB4)</f>
        <v>20021.21</v>
      </c>
      <c r="AD4" s="23">
        <f t="shared" ref="AD4:AD67" si="16">D4-T4-V4-X4-Z4-U4-W4-Y4</f>
        <v>23551.5</v>
      </c>
      <c r="AE4" s="23">
        <f t="shared" ref="AE4:AE67" si="17">D4+M4</f>
        <v>43572.71</v>
      </c>
      <c r="AF4" s="24"/>
    </row>
    <row r="5" s="1" customFormat="1" ht="40" customHeight="1" spans="1:32">
      <c r="A5" s="21">
        <v>2</v>
      </c>
      <c r="B5" s="22" t="s">
        <v>28</v>
      </c>
      <c r="C5" s="21">
        <v>79</v>
      </c>
      <c r="D5" s="21">
        <f t="shared" si="0"/>
        <v>165900</v>
      </c>
      <c r="E5" s="23">
        <f t="shared" si="1"/>
        <v>47475.84</v>
      </c>
      <c r="F5" s="23">
        <v>3936</v>
      </c>
      <c r="G5" s="23">
        <f t="shared" si="2"/>
        <v>2076.91</v>
      </c>
      <c r="H5" s="23">
        <v>173.84</v>
      </c>
      <c r="I5" s="23">
        <f t="shared" si="3"/>
        <v>23737.92</v>
      </c>
      <c r="J5" s="23">
        <v>1968</v>
      </c>
      <c r="K5" s="23">
        <f t="shared" si="4"/>
        <v>474.79</v>
      </c>
      <c r="L5" s="23">
        <v>39.36</v>
      </c>
      <c r="M5" s="23">
        <f t="shared" si="5"/>
        <v>79882.66</v>
      </c>
      <c r="N5" s="23">
        <f t="shared" ref="N5:S5" si="18">E5</f>
        <v>47475.84</v>
      </c>
      <c r="O5" s="23">
        <f t="shared" si="18"/>
        <v>3936</v>
      </c>
      <c r="P5" s="23">
        <f t="shared" si="18"/>
        <v>2076.91</v>
      </c>
      <c r="Q5" s="23">
        <f t="shared" si="18"/>
        <v>173.84</v>
      </c>
      <c r="R5" s="23">
        <f t="shared" si="18"/>
        <v>23737.92</v>
      </c>
      <c r="S5" s="23">
        <f t="shared" si="18"/>
        <v>1968</v>
      </c>
      <c r="T5" s="23">
        <f t="shared" si="7"/>
        <v>23737.92</v>
      </c>
      <c r="U5" s="23">
        <f t="shared" si="8"/>
        <v>1896</v>
      </c>
      <c r="V5" s="23">
        <f t="shared" si="9"/>
        <v>890.33</v>
      </c>
      <c r="W5" s="23">
        <f t="shared" si="10"/>
        <v>69.52</v>
      </c>
      <c r="X5" s="23">
        <f t="shared" si="11"/>
        <v>5934.48</v>
      </c>
      <c r="Y5" s="23">
        <f t="shared" si="12"/>
        <v>474</v>
      </c>
      <c r="Z5" s="23">
        <v>0</v>
      </c>
      <c r="AA5" s="23">
        <f t="shared" si="13"/>
        <v>474.79</v>
      </c>
      <c r="AB5" s="23">
        <f t="shared" si="14"/>
        <v>39.36</v>
      </c>
      <c r="AC5" s="23">
        <f t="shared" si="15"/>
        <v>112884.91</v>
      </c>
      <c r="AD5" s="23">
        <f t="shared" si="16"/>
        <v>132897.75</v>
      </c>
      <c r="AE5" s="23">
        <f t="shared" si="17"/>
        <v>245782.66</v>
      </c>
      <c r="AF5" s="24"/>
    </row>
    <row r="6" s="1" customFormat="1" ht="40" customHeight="1" spans="1:32">
      <c r="A6" s="21">
        <v>3</v>
      </c>
      <c r="B6" s="22" t="s">
        <v>29</v>
      </c>
      <c r="C6" s="21">
        <v>69</v>
      </c>
      <c r="D6" s="21">
        <f t="shared" si="0"/>
        <v>144900</v>
      </c>
      <c r="E6" s="23">
        <f>600.96*65+612.96*4</f>
        <v>41514.24</v>
      </c>
      <c r="F6" s="23">
        <v>3240</v>
      </c>
      <c r="G6" s="23">
        <f>26.29*65+26.82*4</f>
        <v>1816.13</v>
      </c>
      <c r="H6" s="23">
        <v>143.1</v>
      </c>
      <c r="I6" s="23">
        <f>300.48*65+306.48*4</f>
        <v>20757.12</v>
      </c>
      <c r="J6" s="23">
        <v>1620</v>
      </c>
      <c r="K6" s="23">
        <f>6.01*65+6.13*4</f>
        <v>415.17</v>
      </c>
      <c r="L6" s="23">
        <v>32.4</v>
      </c>
      <c r="M6" s="23">
        <f t="shared" si="5"/>
        <v>69538.16</v>
      </c>
      <c r="N6" s="23">
        <f t="shared" ref="N6:S6" si="19">E6</f>
        <v>41514.24</v>
      </c>
      <c r="O6" s="23">
        <f t="shared" si="19"/>
        <v>3240</v>
      </c>
      <c r="P6" s="23">
        <f t="shared" si="19"/>
        <v>1816.13</v>
      </c>
      <c r="Q6" s="23">
        <f t="shared" si="19"/>
        <v>143.1</v>
      </c>
      <c r="R6" s="23">
        <f t="shared" si="19"/>
        <v>20757.12</v>
      </c>
      <c r="S6" s="23">
        <f t="shared" si="19"/>
        <v>1620</v>
      </c>
      <c r="T6" s="23">
        <f>300.48*65+306.48*4</f>
        <v>20757.12</v>
      </c>
      <c r="U6" s="23">
        <f>6*65*4</f>
        <v>1560</v>
      </c>
      <c r="V6" s="23">
        <f>11.27*65+11.49*4</f>
        <v>778.51</v>
      </c>
      <c r="W6" s="23">
        <f>0.22*4*65</f>
        <v>57.2</v>
      </c>
      <c r="X6" s="23">
        <f>75.12*65+76.62*4</f>
        <v>5189.28</v>
      </c>
      <c r="Y6" s="23">
        <f>1.5*4*65</f>
        <v>390</v>
      </c>
      <c r="Z6" s="23">
        <v>0</v>
      </c>
      <c r="AA6" s="23">
        <f t="shared" si="13"/>
        <v>415.17</v>
      </c>
      <c r="AB6" s="23">
        <f t="shared" si="14"/>
        <v>32.4</v>
      </c>
      <c r="AC6" s="23">
        <f t="shared" si="15"/>
        <v>98270.27</v>
      </c>
      <c r="AD6" s="23">
        <f t="shared" si="16"/>
        <v>116167.89</v>
      </c>
      <c r="AE6" s="23">
        <f t="shared" si="17"/>
        <v>214438.16</v>
      </c>
      <c r="AF6" s="24"/>
    </row>
    <row r="7" s="1" customFormat="1" ht="40" customHeight="1" spans="1:32">
      <c r="A7" s="21">
        <v>4</v>
      </c>
      <c r="B7" s="22" t="s">
        <v>30</v>
      </c>
      <c r="C7" s="21">
        <v>31</v>
      </c>
      <c r="D7" s="21">
        <f t="shared" si="0"/>
        <v>65100</v>
      </c>
      <c r="E7" s="23">
        <f t="shared" si="1"/>
        <v>18629.76</v>
      </c>
      <c r="F7" s="23">
        <v>1644</v>
      </c>
      <c r="G7" s="23">
        <f t="shared" si="2"/>
        <v>814.99</v>
      </c>
      <c r="H7" s="23">
        <v>72.61</v>
      </c>
      <c r="I7" s="23">
        <f t="shared" si="3"/>
        <v>9314.88</v>
      </c>
      <c r="J7" s="23">
        <v>822</v>
      </c>
      <c r="K7" s="23">
        <f>9.01*C7</f>
        <v>279.31</v>
      </c>
      <c r="L7" s="23">
        <v>24.66</v>
      </c>
      <c r="M7" s="23">
        <f t="shared" si="5"/>
        <v>31602.21</v>
      </c>
      <c r="N7" s="23">
        <f t="shared" ref="N7:S7" si="20">E7</f>
        <v>18629.76</v>
      </c>
      <c r="O7" s="23">
        <f t="shared" si="20"/>
        <v>1644</v>
      </c>
      <c r="P7" s="23">
        <f t="shared" si="20"/>
        <v>814.99</v>
      </c>
      <c r="Q7" s="23">
        <f t="shared" si="20"/>
        <v>72.61</v>
      </c>
      <c r="R7" s="23">
        <f t="shared" si="20"/>
        <v>9314.88</v>
      </c>
      <c r="S7" s="23">
        <f t="shared" si="20"/>
        <v>822</v>
      </c>
      <c r="T7" s="23">
        <f t="shared" si="7"/>
        <v>9314.88</v>
      </c>
      <c r="U7" s="23">
        <f t="shared" si="8"/>
        <v>744</v>
      </c>
      <c r="V7" s="23">
        <f t="shared" si="9"/>
        <v>349.37</v>
      </c>
      <c r="W7" s="23">
        <f t="shared" si="10"/>
        <v>27.28</v>
      </c>
      <c r="X7" s="23">
        <f t="shared" si="11"/>
        <v>2328.72</v>
      </c>
      <c r="Y7" s="23">
        <f t="shared" si="12"/>
        <v>186</v>
      </c>
      <c r="Z7" s="23">
        <v>0</v>
      </c>
      <c r="AA7" s="23">
        <f t="shared" si="13"/>
        <v>279.31</v>
      </c>
      <c r="AB7" s="23">
        <f t="shared" si="14"/>
        <v>24.66</v>
      </c>
      <c r="AC7" s="23">
        <f t="shared" si="15"/>
        <v>44552.46</v>
      </c>
      <c r="AD7" s="23">
        <f t="shared" si="16"/>
        <v>52149.75</v>
      </c>
      <c r="AE7" s="23">
        <f t="shared" si="17"/>
        <v>96702.21</v>
      </c>
      <c r="AF7" s="24"/>
    </row>
    <row r="8" s="1" customFormat="1" ht="40" customHeight="1" spans="1:32">
      <c r="A8" s="21">
        <v>5</v>
      </c>
      <c r="B8" s="22" t="s">
        <v>31</v>
      </c>
      <c r="C8" s="21">
        <v>3</v>
      </c>
      <c r="D8" s="21">
        <f t="shared" si="0"/>
        <v>6300</v>
      </c>
      <c r="E8" s="23">
        <f t="shared" si="1"/>
        <v>1802.88</v>
      </c>
      <c r="F8" s="23">
        <v>144</v>
      </c>
      <c r="G8" s="23">
        <f t="shared" si="2"/>
        <v>78.87</v>
      </c>
      <c r="H8" s="23">
        <v>6.36</v>
      </c>
      <c r="I8" s="23">
        <f t="shared" si="3"/>
        <v>901.44</v>
      </c>
      <c r="J8" s="23">
        <v>72</v>
      </c>
      <c r="K8" s="23">
        <f t="shared" si="4"/>
        <v>18.03</v>
      </c>
      <c r="L8" s="23">
        <v>1.44</v>
      </c>
      <c r="M8" s="23">
        <f t="shared" si="5"/>
        <v>3025.02</v>
      </c>
      <c r="N8" s="23">
        <f t="shared" ref="N8:S8" si="21">E8</f>
        <v>1802.88</v>
      </c>
      <c r="O8" s="23">
        <f t="shared" si="21"/>
        <v>144</v>
      </c>
      <c r="P8" s="23">
        <f t="shared" si="21"/>
        <v>78.87</v>
      </c>
      <c r="Q8" s="23">
        <f t="shared" si="21"/>
        <v>6.36</v>
      </c>
      <c r="R8" s="23">
        <f t="shared" si="21"/>
        <v>901.44</v>
      </c>
      <c r="S8" s="23">
        <f t="shared" si="21"/>
        <v>72</v>
      </c>
      <c r="T8" s="23">
        <f t="shared" si="7"/>
        <v>901.44</v>
      </c>
      <c r="U8" s="23">
        <f t="shared" si="8"/>
        <v>72</v>
      </c>
      <c r="V8" s="23">
        <f t="shared" si="9"/>
        <v>33.81</v>
      </c>
      <c r="W8" s="23">
        <f t="shared" si="10"/>
        <v>2.64</v>
      </c>
      <c r="X8" s="23">
        <f t="shared" si="11"/>
        <v>225.36</v>
      </c>
      <c r="Y8" s="23">
        <f t="shared" si="12"/>
        <v>18</v>
      </c>
      <c r="Z8" s="23">
        <v>0</v>
      </c>
      <c r="AA8" s="23">
        <f t="shared" si="13"/>
        <v>18.03</v>
      </c>
      <c r="AB8" s="23">
        <f t="shared" si="14"/>
        <v>1.44</v>
      </c>
      <c r="AC8" s="23">
        <f t="shared" si="15"/>
        <v>4278.27</v>
      </c>
      <c r="AD8" s="23">
        <f t="shared" si="16"/>
        <v>5046.75</v>
      </c>
      <c r="AE8" s="23">
        <f t="shared" si="17"/>
        <v>9325.02</v>
      </c>
      <c r="AF8" s="24"/>
    </row>
    <row r="9" s="1" customFormat="1" ht="40" customHeight="1" spans="1:32">
      <c r="A9" s="21">
        <v>6</v>
      </c>
      <c r="B9" s="22" t="s">
        <v>32</v>
      </c>
      <c r="C9" s="21">
        <v>13</v>
      </c>
      <c r="D9" s="21">
        <f t="shared" si="0"/>
        <v>27300</v>
      </c>
      <c r="E9" s="23">
        <f t="shared" si="1"/>
        <v>7812.48</v>
      </c>
      <c r="F9" s="23">
        <f>12*4*C9</f>
        <v>624</v>
      </c>
      <c r="G9" s="23">
        <f t="shared" si="2"/>
        <v>341.77</v>
      </c>
      <c r="H9" s="23">
        <f>0.53*4*C9</f>
        <v>27.56</v>
      </c>
      <c r="I9" s="23">
        <f t="shared" si="3"/>
        <v>3906.24</v>
      </c>
      <c r="J9" s="23">
        <f>6*4*C9</f>
        <v>312</v>
      </c>
      <c r="K9" s="23">
        <f t="shared" si="4"/>
        <v>78.13</v>
      </c>
      <c r="L9" s="23">
        <f>0.12*4*C9</f>
        <v>6.24</v>
      </c>
      <c r="M9" s="23">
        <f t="shared" si="5"/>
        <v>13108.42</v>
      </c>
      <c r="N9" s="23">
        <f t="shared" ref="N9:S9" si="22">E9</f>
        <v>7812.48</v>
      </c>
      <c r="O9" s="23">
        <f t="shared" si="22"/>
        <v>624</v>
      </c>
      <c r="P9" s="23">
        <f t="shared" si="22"/>
        <v>341.77</v>
      </c>
      <c r="Q9" s="23">
        <f t="shared" si="22"/>
        <v>27.56</v>
      </c>
      <c r="R9" s="23">
        <f t="shared" si="22"/>
        <v>3906.24</v>
      </c>
      <c r="S9" s="23">
        <f t="shared" si="22"/>
        <v>312</v>
      </c>
      <c r="T9" s="23">
        <f t="shared" si="7"/>
        <v>3906.24</v>
      </c>
      <c r="U9" s="23">
        <f t="shared" si="8"/>
        <v>312</v>
      </c>
      <c r="V9" s="23">
        <f t="shared" si="9"/>
        <v>146.51</v>
      </c>
      <c r="W9" s="23">
        <f t="shared" si="10"/>
        <v>11.44</v>
      </c>
      <c r="X9" s="23">
        <f t="shared" si="11"/>
        <v>976.56</v>
      </c>
      <c r="Y9" s="23">
        <f t="shared" si="12"/>
        <v>78</v>
      </c>
      <c r="Z9" s="23">
        <v>0</v>
      </c>
      <c r="AA9" s="23">
        <f t="shared" si="13"/>
        <v>78.13</v>
      </c>
      <c r="AB9" s="23">
        <f t="shared" si="14"/>
        <v>6.24</v>
      </c>
      <c r="AC9" s="23">
        <f t="shared" si="15"/>
        <v>18539.17</v>
      </c>
      <c r="AD9" s="23">
        <f t="shared" si="16"/>
        <v>21869.25</v>
      </c>
      <c r="AE9" s="23">
        <f t="shared" si="17"/>
        <v>40408.42</v>
      </c>
      <c r="AF9" s="24"/>
    </row>
    <row r="10" s="1" customFormat="1" ht="40" customHeight="1" spans="1:32">
      <c r="A10" s="21">
        <v>7</v>
      </c>
      <c r="B10" s="25" t="s">
        <v>33</v>
      </c>
      <c r="C10" s="21">
        <v>2</v>
      </c>
      <c r="D10" s="21">
        <f t="shared" si="0"/>
        <v>4200</v>
      </c>
      <c r="E10" s="23">
        <f t="shared" si="1"/>
        <v>1201.92</v>
      </c>
      <c r="F10" s="23">
        <f>12*4*C10</f>
        <v>96</v>
      </c>
      <c r="G10" s="23">
        <f t="shared" si="2"/>
        <v>52.58</v>
      </c>
      <c r="H10" s="23">
        <f>0.53*4*C10</f>
        <v>4.24</v>
      </c>
      <c r="I10" s="23">
        <f t="shared" si="3"/>
        <v>600.96</v>
      </c>
      <c r="J10" s="23">
        <f>6*4*C10</f>
        <v>48</v>
      </c>
      <c r="K10" s="23">
        <f t="shared" si="4"/>
        <v>12.02</v>
      </c>
      <c r="L10" s="23">
        <f>0.12*4*C10</f>
        <v>0.96</v>
      </c>
      <c r="M10" s="23">
        <f t="shared" si="5"/>
        <v>2016.68</v>
      </c>
      <c r="N10" s="23">
        <f t="shared" ref="N10:S10" si="23">E10</f>
        <v>1201.92</v>
      </c>
      <c r="O10" s="23">
        <f t="shared" si="23"/>
        <v>96</v>
      </c>
      <c r="P10" s="23">
        <f t="shared" si="23"/>
        <v>52.58</v>
      </c>
      <c r="Q10" s="23">
        <f t="shared" si="23"/>
        <v>4.24</v>
      </c>
      <c r="R10" s="23">
        <f t="shared" si="23"/>
        <v>600.96</v>
      </c>
      <c r="S10" s="23">
        <f t="shared" si="23"/>
        <v>48</v>
      </c>
      <c r="T10" s="23">
        <f t="shared" si="7"/>
        <v>600.96</v>
      </c>
      <c r="U10" s="23">
        <f t="shared" si="8"/>
        <v>48</v>
      </c>
      <c r="V10" s="23">
        <f t="shared" si="9"/>
        <v>22.54</v>
      </c>
      <c r="W10" s="23">
        <f t="shared" si="10"/>
        <v>1.76</v>
      </c>
      <c r="X10" s="23">
        <f t="shared" si="11"/>
        <v>150.24</v>
      </c>
      <c r="Y10" s="23">
        <f t="shared" si="12"/>
        <v>12</v>
      </c>
      <c r="Z10" s="23">
        <v>0</v>
      </c>
      <c r="AA10" s="23">
        <f t="shared" si="13"/>
        <v>12.02</v>
      </c>
      <c r="AB10" s="23">
        <f t="shared" si="14"/>
        <v>0.96</v>
      </c>
      <c r="AC10" s="23">
        <f t="shared" si="15"/>
        <v>2852.18</v>
      </c>
      <c r="AD10" s="23">
        <f t="shared" si="16"/>
        <v>3364.5</v>
      </c>
      <c r="AE10" s="23">
        <f t="shared" si="17"/>
        <v>6216.68</v>
      </c>
      <c r="AF10" s="24"/>
    </row>
    <row r="11" s="1" customFormat="1" ht="40" customHeight="1" spans="1:32">
      <c r="A11" s="21">
        <v>8</v>
      </c>
      <c r="B11" s="22" t="s">
        <v>34</v>
      </c>
      <c r="C11" s="21">
        <v>49</v>
      </c>
      <c r="D11" s="21">
        <f t="shared" si="0"/>
        <v>102900</v>
      </c>
      <c r="E11" s="23">
        <f t="shared" si="1"/>
        <v>29447.04</v>
      </c>
      <c r="F11" s="23">
        <f>12*4*47+12*8</f>
        <v>2352</v>
      </c>
      <c r="G11" s="23">
        <f t="shared" si="2"/>
        <v>1288.21</v>
      </c>
      <c r="H11" s="23">
        <f>0.53*4*47+0.53*8</f>
        <v>103.88</v>
      </c>
      <c r="I11" s="23">
        <f t="shared" si="3"/>
        <v>14723.52</v>
      </c>
      <c r="J11" s="23">
        <f>6*4*47+6*8</f>
        <v>1176</v>
      </c>
      <c r="K11" s="23">
        <f t="shared" si="4"/>
        <v>294.49</v>
      </c>
      <c r="L11" s="23">
        <f>0.12*4*47+0.12*8</f>
        <v>23.52</v>
      </c>
      <c r="M11" s="23">
        <f t="shared" si="5"/>
        <v>49408.66</v>
      </c>
      <c r="N11" s="23">
        <f t="shared" ref="N11:S11" si="24">E11</f>
        <v>29447.04</v>
      </c>
      <c r="O11" s="23">
        <f t="shared" si="24"/>
        <v>2352</v>
      </c>
      <c r="P11" s="23">
        <f t="shared" si="24"/>
        <v>1288.21</v>
      </c>
      <c r="Q11" s="23">
        <f t="shared" si="24"/>
        <v>103.88</v>
      </c>
      <c r="R11" s="23">
        <f t="shared" si="24"/>
        <v>14723.52</v>
      </c>
      <c r="S11" s="23">
        <f t="shared" si="24"/>
        <v>1176</v>
      </c>
      <c r="T11" s="23">
        <f t="shared" si="7"/>
        <v>14723.52</v>
      </c>
      <c r="U11" s="23">
        <f>6*47*4+6*2</f>
        <v>1140</v>
      </c>
      <c r="V11" s="23">
        <f t="shared" si="9"/>
        <v>552.23</v>
      </c>
      <c r="W11" s="23">
        <f>0.22*4*47+0.22*2</f>
        <v>41.8</v>
      </c>
      <c r="X11" s="23">
        <f t="shared" si="11"/>
        <v>3680.88</v>
      </c>
      <c r="Y11" s="23">
        <f>1.5*4*47+1.5*2</f>
        <v>285</v>
      </c>
      <c r="Z11" s="23">
        <v>0</v>
      </c>
      <c r="AA11" s="23">
        <f t="shared" si="13"/>
        <v>294.49</v>
      </c>
      <c r="AB11" s="23">
        <f t="shared" si="14"/>
        <v>23.52</v>
      </c>
      <c r="AC11" s="23">
        <f t="shared" si="15"/>
        <v>69832.09</v>
      </c>
      <c r="AD11" s="23">
        <f t="shared" si="16"/>
        <v>82476.57</v>
      </c>
      <c r="AE11" s="23">
        <f t="shared" si="17"/>
        <v>152308.66</v>
      </c>
      <c r="AF11" s="24"/>
    </row>
    <row r="12" s="1" customFormat="1" ht="40" customHeight="1" spans="1:32">
      <c r="A12" s="21">
        <v>9</v>
      </c>
      <c r="B12" s="22" t="s">
        <v>35</v>
      </c>
      <c r="C12" s="21">
        <v>7</v>
      </c>
      <c r="D12" s="21">
        <f t="shared" si="0"/>
        <v>14700</v>
      </c>
      <c r="E12" s="23">
        <f t="shared" si="1"/>
        <v>4206.72</v>
      </c>
      <c r="F12" s="23">
        <f>12*4*6+12*3</f>
        <v>324</v>
      </c>
      <c r="G12" s="23">
        <f t="shared" si="2"/>
        <v>184.03</v>
      </c>
      <c r="H12" s="23">
        <f>0.53*4*6+0.53*3</f>
        <v>14.31</v>
      </c>
      <c r="I12" s="23">
        <f t="shared" si="3"/>
        <v>2103.36</v>
      </c>
      <c r="J12" s="23">
        <f>6*4*6+6*3</f>
        <v>162</v>
      </c>
      <c r="K12" s="23">
        <f t="shared" si="4"/>
        <v>42.07</v>
      </c>
      <c r="L12" s="23">
        <f>0.12*4*6+0.12*3</f>
        <v>3.24</v>
      </c>
      <c r="M12" s="23">
        <f t="shared" si="5"/>
        <v>7039.73</v>
      </c>
      <c r="N12" s="23">
        <f t="shared" ref="N12:S12" si="25">E12</f>
        <v>4206.72</v>
      </c>
      <c r="O12" s="23">
        <f t="shared" si="25"/>
        <v>324</v>
      </c>
      <c r="P12" s="23">
        <f t="shared" si="25"/>
        <v>184.03</v>
      </c>
      <c r="Q12" s="23">
        <f t="shared" si="25"/>
        <v>14.31</v>
      </c>
      <c r="R12" s="23">
        <f t="shared" si="25"/>
        <v>2103.36</v>
      </c>
      <c r="S12" s="23">
        <f t="shared" si="25"/>
        <v>162</v>
      </c>
      <c r="T12" s="23">
        <f t="shared" si="7"/>
        <v>2103.36</v>
      </c>
      <c r="U12" s="23">
        <f>6*6*4+6</f>
        <v>150</v>
      </c>
      <c r="V12" s="23">
        <f t="shared" si="9"/>
        <v>78.89</v>
      </c>
      <c r="W12" s="23">
        <f>0.22*4*6+0.22</f>
        <v>5.5</v>
      </c>
      <c r="X12" s="23">
        <f t="shared" si="11"/>
        <v>525.84</v>
      </c>
      <c r="Y12" s="23">
        <f>1.5*4*6+1.5</f>
        <v>37.5</v>
      </c>
      <c r="Z12" s="23">
        <v>0</v>
      </c>
      <c r="AA12" s="23">
        <f t="shared" si="13"/>
        <v>42.07</v>
      </c>
      <c r="AB12" s="23">
        <f t="shared" si="14"/>
        <v>3.24</v>
      </c>
      <c r="AC12" s="23">
        <f t="shared" si="15"/>
        <v>9940.82</v>
      </c>
      <c r="AD12" s="23">
        <f t="shared" si="16"/>
        <v>11798.91</v>
      </c>
      <c r="AE12" s="23">
        <f t="shared" si="17"/>
        <v>21739.73</v>
      </c>
      <c r="AF12" s="24"/>
    </row>
    <row r="13" s="1" customFormat="1" ht="40" customHeight="1" spans="1:32">
      <c r="A13" s="21">
        <v>10</v>
      </c>
      <c r="B13" s="22" t="s">
        <v>36</v>
      </c>
      <c r="C13" s="21">
        <v>26</v>
      </c>
      <c r="D13" s="21">
        <f t="shared" si="0"/>
        <v>54600</v>
      </c>
      <c r="E13" s="23">
        <f t="shared" si="1"/>
        <v>15624.96</v>
      </c>
      <c r="F13" s="23">
        <f>12*4*C13+12*2*2+12*3*2</f>
        <v>1368</v>
      </c>
      <c r="G13" s="23">
        <f t="shared" si="2"/>
        <v>683.54</v>
      </c>
      <c r="H13" s="23">
        <f>0.53*4*C13+0.53*2*2+0.53*3*2</f>
        <v>60.42</v>
      </c>
      <c r="I13" s="23">
        <f t="shared" si="3"/>
        <v>7812.48</v>
      </c>
      <c r="J13" s="23">
        <f>6*4*C13+6*2*2+6*3*2</f>
        <v>684</v>
      </c>
      <c r="K13" s="23">
        <f t="shared" si="4"/>
        <v>156.26</v>
      </c>
      <c r="L13" s="23">
        <f>0.12*4*C13+0.12*2*2+0.12*3*2</f>
        <v>13.68</v>
      </c>
      <c r="M13" s="23">
        <f t="shared" si="5"/>
        <v>26403.34</v>
      </c>
      <c r="N13" s="23">
        <f t="shared" ref="N13:S13" si="26">E13</f>
        <v>15624.96</v>
      </c>
      <c r="O13" s="23">
        <f t="shared" si="26"/>
        <v>1368</v>
      </c>
      <c r="P13" s="23">
        <f t="shared" si="26"/>
        <v>683.54</v>
      </c>
      <c r="Q13" s="23">
        <f t="shared" si="26"/>
        <v>60.42</v>
      </c>
      <c r="R13" s="23">
        <f t="shared" si="26"/>
        <v>7812.48</v>
      </c>
      <c r="S13" s="23">
        <f t="shared" si="26"/>
        <v>684</v>
      </c>
      <c r="T13" s="23">
        <f t="shared" si="7"/>
        <v>7812.48</v>
      </c>
      <c r="U13" s="23">
        <f t="shared" ref="U13:U15" si="27">6*C13*4</f>
        <v>624</v>
      </c>
      <c r="V13" s="23">
        <f t="shared" si="9"/>
        <v>293.02</v>
      </c>
      <c r="W13" s="23">
        <f t="shared" ref="W13:W15" si="28">0.22*4*C13</f>
        <v>22.88</v>
      </c>
      <c r="X13" s="23">
        <f t="shared" si="11"/>
        <v>1953.12</v>
      </c>
      <c r="Y13" s="23">
        <f t="shared" ref="Y13:Y15" si="29">1.5*4*C13</f>
        <v>156</v>
      </c>
      <c r="Z13" s="23">
        <v>0</v>
      </c>
      <c r="AA13" s="23">
        <f t="shared" si="13"/>
        <v>156.26</v>
      </c>
      <c r="AB13" s="23">
        <f t="shared" si="14"/>
        <v>13.68</v>
      </c>
      <c r="AC13" s="23">
        <f t="shared" si="15"/>
        <v>37264.84</v>
      </c>
      <c r="AD13" s="23">
        <f t="shared" si="16"/>
        <v>43738.5</v>
      </c>
      <c r="AE13" s="23">
        <f t="shared" si="17"/>
        <v>81003.34</v>
      </c>
      <c r="AF13" s="24"/>
    </row>
    <row r="14" s="1" customFormat="1" ht="40" customHeight="1" spans="1:32">
      <c r="A14" s="21">
        <v>11</v>
      </c>
      <c r="B14" s="25" t="s">
        <v>37</v>
      </c>
      <c r="C14" s="21">
        <v>16</v>
      </c>
      <c r="D14" s="21">
        <f t="shared" si="0"/>
        <v>33600</v>
      </c>
      <c r="E14" s="23">
        <f t="shared" si="1"/>
        <v>9615.36</v>
      </c>
      <c r="F14" s="23">
        <f>12*4*C14+12*2*2</f>
        <v>816</v>
      </c>
      <c r="G14" s="23">
        <f t="shared" si="2"/>
        <v>420.64</v>
      </c>
      <c r="H14" s="23">
        <f>0.53*4*C14+0.53*2*2</f>
        <v>36.04</v>
      </c>
      <c r="I14" s="23">
        <f t="shared" si="3"/>
        <v>4807.68</v>
      </c>
      <c r="J14" s="23">
        <f>6*4*C14+6*2*2</f>
        <v>408</v>
      </c>
      <c r="K14" s="23">
        <f t="shared" si="4"/>
        <v>96.16</v>
      </c>
      <c r="L14" s="23">
        <f>0.12*4*C14+0.12*2*2</f>
        <v>8.16</v>
      </c>
      <c r="M14" s="23">
        <f t="shared" si="5"/>
        <v>16208.04</v>
      </c>
      <c r="N14" s="23">
        <f t="shared" ref="N14:S14" si="30">E14</f>
        <v>9615.36</v>
      </c>
      <c r="O14" s="23">
        <f t="shared" si="30"/>
        <v>816</v>
      </c>
      <c r="P14" s="23">
        <f t="shared" si="30"/>
        <v>420.64</v>
      </c>
      <c r="Q14" s="23">
        <f t="shared" si="30"/>
        <v>36.04</v>
      </c>
      <c r="R14" s="23">
        <f t="shared" si="30"/>
        <v>4807.68</v>
      </c>
      <c r="S14" s="23">
        <f t="shared" si="30"/>
        <v>408</v>
      </c>
      <c r="T14" s="23">
        <f t="shared" si="7"/>
        <v>4807.68</v>
      </c>
      <c r="U14" s="23">
        <f t="shared" si="27"/>
        <v>384</v>
      </c>
      <c r="V14" s="23">
        <f t="shared" si="9"/>
        <v>180.32</v>
      </c>
      <c r="W14" s="23">
        <f t="shared" si="28"/>
        <v>14.08</v>
      </c>
      <c r="X14" s="23">
        <f t="shared" si="11"/>
        <v>1201.92</v>
      </c>
      <c r="Y14" s="23">
        <f t="shared" si="29"/>
        <v>96</v>
      </c>
      <c r="Z14" s="23">
        <v>0</v>
      </c>
      <c r="AA14" s="23">
        <f t="shared" si="13"/>
        <v>96.16</v>
      </c>
      <c r="AB14" s="23">
        <f t="shared" si="14"/>
        <v>8.16</v>
      </c>
      <c r="AC14" s="23">
        <f t="shared" si="15"/>
        <v>22892.04</v>
      </c>
      <c r="AD14" s="23">
        <f t="shared" si="16"/>
        <v>26916</v>
      </c>
      <c r="AE14" s="23">
        <f t="shared" si="17"/>
        <v>49808.04</v>
      </c>
      <c r="AF14" s="24"/>
    </row>
    <row r="15" s="1" customFormat="1" ht="40" customHeight="1" spans="1:32">
      <c r="A15" s="21">
        <v>12</v>
      </c>
      <c r="B15" s="25" t="s">
        <v>38</v>
      </c>
      <c r="C15" s="21">
        <v>23</v>
      </c>
      <c r="D15" s="21">
        <f t="shared" si="0"/>
        <v>48300</v>
      </c>
      <c r="E15" s="23">
        <f t="shared" si="1"/>
        <v>13822.08</v>
      </c>
      <c r="F15" s="23">
        <f t="shared" ref="F15:F20" si="31">12*4*C15</f>
        <v>1104</v>
      </c>
      <c r="G15" s="23">
        <f t="shared" si="2"/>
        <v>604.67</v>
      </c>
      <c r="H15" s="23">
        <f t="shared" ref="H15:H20" si="32">0.53*4*C15</f>
        <v>48.76</v>
      </c>
      <c r="I15" s="23">
        <f t="shared" si="3"/>
        <v>6911.04</v>
      </c>
      <c r="J15" s="23">
        <f t="shared" ref="J15:J20" si="33">6*4*C15</f>
        <v>552</v>
      </c>
      <c r="K15" s="23">
        <f t="shared" si="4"/>
        <v>138.23</v>
      </c>
      <c r="L15" s="23">
        <f t="shared" ref="L15:L20" si="34">0.12*4*C15</f>
        <v>11.04</v>
      </c>
      <c r="M15" s="23">
        <f t="shared" si="5"/>
        <v>23191.82</v>
      </c>
      <c r="N15" s="23">
        <f t="shared" ref="N15:S15" si="35">E15</f>
        <v>13822.08</v>
      </c>
      <c r="O15" s="23">
        <f t="shared" si="35"/>
        <v>1104</v>
      </c>
      <c r="P15" s="23">
        <f t="shared" si="35"/>
        <v>604.67</v>
      </c>
      <c r="Q15" s="23">
        <f t="shared" si="35"/>
        <v>48.76</v>
      </c>
      <c r="R15" s="23">
        <f t="shared" si="35"/>
        <v>6911.04</v>
      </c>
      <c r="S15" s="23">
        <f t="shared" si="35"/>
        <v>552</v>
      </c>
      <c r="T15" s="23">
        <f t="shared" si="7"/>
        <v>6911.04</v>
      </c>
      <c r="U15" s="23">
        <f t="shared" si="27"/>
        <v>552</v>
      </c>
      <c r="V15" s="23">
        <f t="shared" si="9"/>
        <v>259.21</v>
      </c>
      <c r="W15" s="23">
        <f t="shared" si="28"/>
        <v>20.24</v>
      </c>
      <c r="X15" s="23">
        <f t="shared" si="11"/>
        <v>1727.76</v>
      </c>
      <c r="Y15" s="23">
        <f t="shared" si="29"/>
        <v>138</v>
      </c>
      <c r="Z15" s="23">
        <v>0</v>
      </c>
      <c r="AA15" s="23">
        <f t="shared" si="13"/>
        <v>138.23</v>
      </c>
      <c r="AB15" s="23">
        <f t="shared" si="14"/>
        <v>11.04</v>
      </c>
      <c r="AC15" s="23">
        <f t="shared" si="15"/>
        <v>32800.07</v>
      </c>
      <c r="AD15" s="23">
        <f t="shared" si="16"/>
        <v>38691.75</v>
      </c>
      <c r="AE15" s="23">
        <f t="shared" si="17"/>
        <v>71491.82</v>
      </c>
      <c r="AF15" s="24"/>
    </row>
    <row r="16" s="1" customFormat="1" ht="40" customHeight="1" spans="1:32">
      <c r="A16" s="21">
        <v>13</v>
      </c>
      <c r="B16" s="25" t="s">
        <v>39</v>
      </c>
      <c r="C16" s="21">
        <v>3</v>
      </c>
      <c r="D16" s="21">
        <f t="shared" si="0"/>
        <v>6300</v>
      </c>
      <c r="E16" s="23">
        <f>600.96*2+612.96</f>
        <v>1814.88</v>
      </c>
      <c r="F16" s="23">
        <f>12*4*2</f>
        <v>96</v>
      </c>
      <c r="G16" s="23">
        <f>26.29*2+26.82</f>
        <v>79.4</v>
      </c>
      <c r="H16" s="23">
        <f>0.53*4*2</f>
        <v>4.24</v>
      </c>
      <c r="I16" s="23">
        <f>300.48*2+306.48</f>
        <v>907.44</v>
      </c>
      <c r="J16" s="23">
        <f>6*4*2</f>
        <v>48</v>
      </c>
      <c r="K16" s="23">
        <f>6.01*2+6.13</f>
        <v>18.15</v>
      </c>
      <c r="L16" s="23">
        <f>0.12*4*2</f>
        <v>0.96</v>
      </c>
      <c r="M16" s="23">
        <f t="shared" si="5"/>
        <v>2969.07</v>
      </c>
      <c r="N16" s="23">
        <f t="shared" ref="N16:S16" si="36">E16</f>
        <v>1814.88</v>
      </c>
      <c r="O16" s="23">
        <f t="shared" si="36"/>
        <v>96</v>
      </c>
      <c r="P16" s="23">
        <f t="shared" si="36"/>
        <v>79.4</v>
      </c>
      <c r="Q16" s="23">
        <f t="shared" si="36"/>
        <v>4.24</v>
      </c>
      <c r="R16" s="23">
        <f t="shared" si="36"/>
        <v>907.44</v>
      </c>
      <c r="S16" s="23">
        <f t="shared" si="36"/>
        <v>48</v>
      </c>
      <c r="T16" s="23">
        <f>300.48*2+306.48</f>
        <v>907.44</v>
      </c>
      <c r="U16" s="23">
        <f>6*2*4</f>
        <v>48</v>
      </c>
      <c r="V16" s="23">
        <f>11.27*2+11.49</f>
        <v>34.03</v>
      </c>
      <c r="W16" s="23">
        <f>0.22*4*2</f>
        <v>1.76</v>
      </c>
      <c r="X16" s="23">
        <f>75.12*2+76.62</f>
        <v>226.86</v>
      </c>
      <c r="Y16" s="23">
        <f>1.5*4*2</f>
        <v>12</v>
      </c>
      <c r="Z16" s="23">
        <v>0</v>
      </c>
      <c r="AA16" s="23">
        <f t="shared" si="13"/>
        <v>18.15</v>
      </c>
      <c r="AB16" s="23">
        <f t="shared" si="14"/>
        <v>0.96</v>
      </c>
      <c r="AC16" s="23">
        <f t="shared" si="15"/>
        <v>4199.16</v>
      </c>
      <c r="AD16" s="23">
        <f t="shared" si="16"/>
        <v>5069.91</v>
      </c>
      <c r="AE16" s="23">
        <f t="shared" si="17"/>
        <v>9269.07</v>
      </c>
      <c r="AF16" s="24"/>
    </row>
    <row r="17" s="1" customFormat="1" ht="40" customHeight="1" spans="1:32">
      <c r="A17" s="21">
        <v>14</v>
      </c>
      <c r="B17" s="25" t="s">
        <v>40</v>
      </c>
      <c r="C17" s="21">
        <v>16</v>
      </c>
      <c r="D17" s="21">
        <f t="shared" si="0"/>
        <v>33600</v>
      </c>
      <c r="E17" s="23">
        <f t="shared" ref="E17:E29" si="37">600.96*C17</f>
        <v>9615.36</v>
      </c>
      <c r="F17" s="23">
        <f>12*4*C17+12*3</f>
        <v>804</v>
      </c>
      <c r="G17" s="23">
        <f t="shared" ref="G17:G29" si="38">26.29*C17</f>
        <v>420.64</v>
      </c>
      <c r="H17" s="23">
        <f>0.53*4*C17+0.53*3</f>
        <v>35.51</v>
      </c>
      <c r="I17" s="23">
        <f t="shared" ref="I17:I29" si="39">300.48*C17</f>
        <v>4807.68</v>
      </c>
      <c r="J17" s="23">
        <f>6*4*C17+6*3</f>
        <v>402</v>
      </c>
      <c r="K17" s="23">
        <f t="shared" ref="K17:K23" si="40">6.01*C17</f>
        <v>96.16</v>
      </c>
      <c r="L17" s="23">
        <f>0.12*4*C17+0.12*3</f>
        <v>8.04</v>
      </c>
      <c r="M17" s="23">
        <f t="shared" si="5"/>
        <v>16189.39</v>
      </c>
      <c r="N17" s="23">
        <f t="shared" ref="N17:S17" si="41">E17</f>
        <v>9615.36</v>
      </c>
      <c r="O17" s="23">
        <f t="shared" si="41"/>
        <v>804</v>
      </c>
      <c r="P17" s="23">
        <f t="shared" si="41"/>
        <v>420.64</v>
      </c>
      <c r="Q17" s="23">
        <f t="shared" si="41"/>
        <v>35.51</v>
      </c>
      <c r="R17" s="23">
        <f t="shared" si="41"/>
        <v>4807.68</v>
      </c>
      <c r="S17" s="23">
        <f t="shared" si="41"/>
        <v>402</v>
      </c>
      <c r="T17" s="23">
        <f t="shared" ref="T17:T29" si="42">300.48*C17</f>
        <v>4807.68</v>
      </c>
      <c r="U17" s="23">
        <f t="shared" ref="U17:U29" si="43">6*C17*4</f>
        <v>384</v>
      </c>
      <c r="V17" s="23">
        <f t="shared" ref="V17:V29" si="44">11.27*C17</f>
        <v>180.32</v>
      </c>
      <c r="W17" s="23">
        <f t="shared" ref="W17:W29" si="45">0.22*4*C17</f>
        <v>14.08</v>
      </c>
      <c r="X17" s="23">
        <f t="shared" ref="X17:X29" si="46">75.12*C17</f>
        <v>1201.92</v>
      </c>
      <c r="Y17" s="23">
        <f t="shared" ref="Y17:Y29" si="47">1.5*4*C17</f>
        <v>96</v>
      </c>
      <c r="Z17" s="23">
        <v>0</v>
      </c>
      <c r="AA17" s="23">
        <f t="shared" si="13"/>
        <v>96.16</v>
      </c>
      <c r="AB17" s="23">
        <f t="shared" si="14"/>
        <v>8.04</v>
      </c>
      <c r="AC17" s="23">
        <f t="shared" si="15"/>
        <v>22873.39</v>
      </c>
      <c r="AD17" s="23">
        <f t="shared" si="16"/>
        <v>26916</v>
      </c>
      <c r="AE17" s="23">
        <f t="shared" si="17"/>
        <v>49789.39</v>
      </c>
      <c r="AF17" s="24"/>
    </row>
    <row r="18" s="1" customFormat="1" ht="40" customHeight="1" spans="1:32">
      <c r="A18" s="21">
        <v>15</v>
      </c>
      <c r="B18" s="26" t="s">
        <v>41</v>
      </c>
      <c r="C18" s="21">
        <v>6</v>
      </c>
      <c r="D18" s="21">
        <f t="shared" si="0"/>
        <v>12600</v>
      </c>
      <c r="E18" s="23">
        <f t="shared" si="37"/>
        <v>3605.76</v>
      </c>
      <c r="F18" s="23">
        <f t="shared" si="31"/>
        <v>288</v>
      </c>
      <c r="G18" s="23">
        <f t="shared" si="38"/>
        <v>157.74</v>
      </c>
      <c r="H18" s="23">
        <f t="shared" si="32"/>
        <v>12.72</v>
      </c>
      <c r="I18" s="23">
        <f t="shared" si="39"/>
        <v>1802.88</v>
      </c>
      <c r="J18" s="23">
        <f t="shared" si="33"/>
        <v>144</v>
      </c>
      <c r="K18" s="23">
        <f t="shared" si="40"/>
        <v>36.06</v>
      </c>
      <c r="L18" s="23">
        <f t="shared" si="34"/>
        <v>2.88</v>
      </c>
      <c r="M18" s="23">
        <f t="shared" si="5"/>
        <v>6050.04</v>
      </c>
      <c r="N18" s="23">
        <f t="shared" ref="N18:S18" si="48">E18</f>
        <v>3605.76</v>
      </c>
      <c r="O18" s="23">
        <f t="shared" si="48"/>
        <v>288</v>
      </c>
      <c r="P18" s="23">
        <f t="shared" si="48"/>
        <v>157.74</v>
      </c>
      <c r="Q18" s="23">
        <f t="shared" si="48"/>
        <v>12.72</v>
      </c>
      <c r="R18" s="23">
        <f t="shared" si="48"/>
        <v>1802.88</v>
      </c>
      <c r="S18" s="23">
        <f t="shared" si="48"/>
        <v>144</v>
      </c>
      <c r="T18" s="23">
        <f t="shared" si="42"/>
        <v>1802.88</v>
      </c>
      <c r="U18" s="23">
        <f t="shared" si="43"/>
        <v>144</v>
      </c>
      <c r="V18" s="23">
        <f t="shared" si="44"/>
        <v>67.62</v>
      </c>
      <c r="W18" s="23">
        <f t="shared" si="45"/>
        <v>5.28</v>
      </c>
      <c r="X18" s="23">
        <f t="shared" si="46"/>
        <v>450.72</v>
      </c>
      <c r="Y18" s="23">
        <f t="shared" si="47"/>
        <v>36</v>
      </c>
      <c r="Z18" s="23">
        <v>0</v>
      </c>
      <c r="AA18" s="23">
        <f t="shared" si="13"/>
        <v>36.06</v>
      </c>
      <c r="AB18" s="23">
        <f t="shared" si="14"/>
        <v>2.88</v>
      </c>
      <c r="AC18" s="23">
        <f t="shared" si="15"/>
        <v>8556.54</v>
      </c>
      <c r="AD18" s="23">
        <f t="shared" si="16"/>
        <v>10093.5</v>
      </c>
      <c r="AE18" s="23">
        <f t="shared" si="17"/>
        <v>18650.04</v>
      </c>
      <c r="AF18" s="24"/>
    </row>
    <row r="19" s="1" customFormat="1" ht="40" customHeight="1" spans="1:32">
      <c r="A19" s="21">
        <v>16</v>
      </c>
      <c r="B19" s="26" t="s">
        <v>42</v>
      </c>
      <c r="C19" s="21">
        <v>6</v>
      </c>
      <c r="D19" s="21">
        <f t="shared" si="0"/>
        <v>12600</v>
      </c>
      <c r="E19" s="23">
        <f t="shared" si="37"/>
        <v>3605.76</v>
      </c>
      <c r="F19" s="23">
        <f t="shared" si="31"/>
        <v>288</v>
      </c>
      <c r="G19" s="23">
        <f t="shared" si="38"/>
        <v>157.74</v>
      </c>
      <c r="H19" s="23">
        <f t="shared" si="32"/>
        <v>12.72</v>
      </c>
      <c r="I19" s="23">
        <f t="shared" si="39"/>
        <v>1802.88</v>
      </c>
      <c r="J19" s="23">
        <f t="shared" si="33"/>
        <v>144</v>
      </c>
      <c r="K19" s="23">
        <f t="shared" si="40"/>
        <v>36.06</v>
      </c>
      <c r="L19" s="23">
        <f t="shared" si="34"/>
        <v>2.88</v>
      </c>
      <c r="M19" s="23">
        <f t="shared" si="5"/>
        <v>6050.04</v>
      </c>
      <c r="N19" s="23">
        <f t="shared" ref="N19:S19" si="49">E19</f>
        <v>3605.76</v>
      </c>
      <c r="O19" s="23">
        <f t="shared" si="49"/>
        <v>288</v>
      </c>
      <c r="P19" s="23">
        <f t="shared" si="49"/>
        <v>157.74</v>
      </c>
      <c r="Q19" s="23">
        <f t="shared" si="49"/>
        <v>12.72</v>
      </c>
      <c r="R19" s="23">
        <f t="shared" si="49"/>
        <v>1802.88</v>
      </c>
      <c r="S19" s="23">
        <f t="shared" si="49"/>
        <v>144</v>
      </c>
      <c r="T19" s="23">
        <f t="shared" si="42"/>
        <v>1802.88</v>
      </c>
      <c r="U19" s="23">
        <f t="shared" si="43"/>
        <v>144</v>
      </c>
      <c r="V19" s="23">
        <f t="shared" si="44"/>
        <v>67.62</v>
      </c>
      <c r="W19" s="23">
        <f t="shared" si="45"/>
        <v>5.28</v>
      </c>
      <c r="X19" s="23">
        <f t="shared" si="46"/>
        <v>450.72</v>
      </c>
      <c r="Y19" s="23">
        <f t="shared" si="47"/>
        <v>36</v>
      </c>
      <c r="Z19" s="23">
        <v>0</v>
      </c>
      <c r="AA19" s="23">
        <f t="shared" si="13"/>
        <v>36.06</v>
      </c>
      <c r="AB19" s="23">
        <f t="shared" si="14"/>
        <v>2.88</v>
      </c>
      <c r="AC19" s="23">
        <f t="shared" si="15"/>
        <v>8556.54</v>
      </c>
      <c r="AD19" s="23">
        <f t="shared" si="16"/>
        <v>10093.5</v>
      </c>
      <c r="AE19" s="23">
        <f t="shared" si="17"/>
        <v>18650.04</v>
      </c>
      <c r="AF19" s="24"/>
    </row>
    <row r="20" s="1" customFormat="1" ht="40" customHeight="1" spans="1:32">
      <c r="A20" s="21">
        <v>17</v>
      </c>
      <c r="B20" s="22" t="s">
        <v>43</v>
      </c>
      <c r="C20" s="21">
        <v>2</v>
      </c>
      <c r="D20" s="21">
        <f t="shared" si="0"/>
        <v>4200</v>
      </c>
      <c r="E20" s="23">
        <f t="shared" si="37"/>
        <v>1201.92</v>
      </c>
      <c r="F20" s="23">
        <f t="shared" si="31"/>
        <v>96</v>
      </c>
      <c r="G20" s="23">
        <f t="shared" si="38"/>
        <v>52.58</v>
      </c>
      <c r="H20" s="23">
        <f t="shared" si="32"/>
        <v>4.24</v>
      </c>
      <c r="I20" s="23">
        <f t="shared" si="39"/>
        <v>600.96</v>
      </c>
      <c r="J20" s="23">
        <f t="shared" si="33"/>
        <v>48</v>
      </c>
      <c r="K20" s="23">
        <f t="shared" si="40"/>
        <v>12.02</v>
      </c>
      <c r="L20" s="23">
        <f t="shared" si="34"/>
        <v>0.96</v>
      </c>
      <c r="M20" s="23">
        <f t="shared" si="5"/>
        <v>2016.68</v>
      </c>
      <c r="N20" s="23">
        <f t="shared" ref="N20:S20" si="50">E20</f>
        <v>1201.92</v>
      </c>
      <c r="O20" s="23">
        <f t="shared" si="50"/>
        <v>96</v>
      </c>
      <c r="P20" s="23">
        <f t="shared" si="50"/>
        <v>52.58</v>
      </c>
      <c r="Q20" s="23">
        <f t="shared" si="50"/>
        <v>4.24</v>
      </c>
      <c r="R20" s="23">
        <f t="shared" si="50"/>
        <v>600.96</v>
      </c>
      <c r="S20" s="23">
        <f t="shared" si="50"/>
        <v>48</v>
      </c>
      <c r="T20" s="23">
        <f t="shared" si="42"/>
        <v>600.96</v>
      </c>
      <c r="U20" s="23">
        <f t="shared" si="43"/>
        <v>48</v>
      </c>
      <c r="V20" s="23">
        <f t="shared" si="44"/>
        <v>22.54</v>
      </c>
      <c r="W20" s="23">
        <f t="shared" si="45"/>
        <v>1.76</v>
      </c>
      <c r="X20" s="23">
        <f t="shared" si="46"/>
        <v>150.24</v>
      </c>
      <c r="Y20" s="23">
        <f t="shared" si="47"/>
        <v>12</v>
      </c>
      <c r="Z20" s="23">
        <v>0</v>
      </c>
      <c r="AA20" s="23">
        <f t="shared" si="13"/>
        <v>12.02</v>
      </c>
      <c r="AB20" s="23">
        <f t="shared" si="14"/>
        <v>0.96</v>
      </c>
      <c r="AC20" s="23">
        <f t="shared" si="15"/>
        <v>2852.18</v>
      </c>
      <c r="AD20" s="23">
        <f t="shared" si="16"/>
        <v>3364.5</v>
      </c>
      <c r="AE20" s="23">
        <f t="shared" si="17"/>
        <v>6216.68</v>
      </c>
      <c r="AF20" s="24"/>
    </row>
    <row r="21" s="1" customFormat="1" ht="40" customHeight="1" spans="1:32">
      <c r="A21" s="21">
        <v>18</v>
      </c>
      <c r="B21" s="22" t="s">
        <v>44</v>
      </c>
      <c r="C21" s="21">
        <v>12</v>
      </c>
      <c r="D21" s="21">
        <f t="shared" si="0"/>
        <v>25200</v>
      </c>
      <c r="E21" s="23">
        <f t="shared" si="37"/>
        <v>7211.52</v>
      </c>
      <c r="F21" s="23">
        <f>12*4*C21+12</f>
        <v>588</v>
      </c>
      <c r="G21" s="23">
        <f t="shared" si="38"/>
        <v>315.48</v>
      </c>
      <c r="H21" s="23">
        <f>0.53*4*C21+0.53</f>
        <v>25.97</v>
      </c>
      <c r="I21" s="23">
        <f t="shared" si="39"/>
        <v>3605.76</v>
      </c>
      <c r="J21" s="23">
        <f>6*4*C21+6</f>
        <v>294</v>
      </c>
      <c r="K21" s="23">
        <f t="shared" si="40"/>
        <v>72.12</v>
      </c>
      <c r="L21" s="23">
        <f>0.12*4*C21+0.12</f>
        <v>5.88</v>
      </c>
      <c r="M21" s="23">
        <f t="shared" si="5"/>
        <v>12118.73</v>
      </c>
      <c r="N21" s="23">
        <f t="shared" ref="N21:S21" si="51">E21</f>
        <v>7211.52</v>
      </c>
      <c r="O21" s="23">
        <f t="shared" si="51"/>
        <v>588</v>
      </c>
      <c r="P21" s="23">
        <f t="shared" si="51"/>
        <v>315.48</v>
      </c>
      <c r="Q21" s="23">
        <f t="shared" si="51"/>
        <v>25.97</v>
      </c>
      <c r="R21" s="23">
        <f t="shared" si="51"/>
        <v>3605.76</v>
      </c>
      <c r="S21" s="23">
        <f t="shared" si="51"/>
        <v>294</v>
      </c>
      <c r="T21" s="23">
        <f t="shared" si="42"/>
        <v>3605.76</v>
      </c>
      <c r="U21" s="23">
        <f t="shared" si="43"/>
        <v>288</v>
      </c>
      <c r="V21" s="23">
        <f t="shared" si="44"/>
        <v>135.24</v>
      </c>
      <c r="W21" s="23">
        <f t="shared" si="45"/>
        <v>10.56</v>
      </c>
      <c r="X21" s="23">
        <f t="shared" si="46"/>
        <v>901.44</v>
      </c>
      <c r="Y21" s="23">
        <f t="shared" si="47"/>
        <v>72</v>
      </c>
      <c r="Z21" s="23">
        <v>0</v>
      </c>
      <c r="AA21" s="23">
        <f t="shared" si="13"/>
        <v>72.12</v>
      </c>
      <c r="AB21" s="23">
        <f t="shared" si="14"/>
        <v>5.88</v>
      </c>
      <c r="AC21" s="23">
        <f t="shared" si="15"/>
        <v>17131.73</v>
      </c>
      <c r="AD21" s="23">
        <f t="shared" si="16"/>
        <v>20187</v>
      </c>
      <c r="AE21" s="23">
        <f t="shared" si="17"/>
        <v>37318.73</v>
      </c>
      <c r="AF21" s="24"/>
    </row>
    <row r="22" s="1" customFormat="1" ht="40" customHeight="1" spans="1:32">
      <c r="A22" s="21">
        <v>19</v>
      </c>
      <c r="B22" s="22" t="s">
        <v>45</v>
      </c>
      <c r="C22" s="21">
        <v>1</v>
      </c>
      <c r="D22" s="21">
        <f t="shared" si="0"/>
        <v>2100</v>
      </c>
      <c r="E22" s="23">
        <f t="shared" si="37"/>
        <v>600.96</v>
      </c>
      <c r="F22" s="23">
        <f>12*4*C22+12*3</f>
        <v>84</v>
      </c>
      <c r="G22" s="23">
        <f t="shared" si="38"/>
        <v>26.29</v>
      </c>
      <c r="H22" s="23">
        <f>0.53*4*C22+0.53*3</f>
        <v>3.71</v>
      </c>
      <c r="I22" s="23">
        <f t="shared" si="39"/>
        <v>300.48</v>
      </c>
      <c r="J22" s="23">
        <f>6*4*C22+6*3</f>
        <v>42</v>
      </c>
      <c r="K22" s="23">
        <f t="shared" si="40"/>
        <v>6.01</v>
      </c>
      <c r="L22" s="23">
        <f>0.12*4*C22+0.12*3</f>
        <v>0.84</v>
      </c>
      <c r="M22" s="23">
        <f t="shared" si="5"/>
        <v>1064.29</v>
      </c>
      <c r="N22" s="23">
        <f t="shared" ref="N22:S22" si="52">E22</f>
        <v>600.96</v>
      </c>
      <c r="O22" s="23">
        <f t="shared" si="52"/>
        <v>84</v>
      </c>
      <c r="P22" s="23">
        <f t="shared" si="52"/>
        <v>26.29</v>
      </c>
      <c r="Q22" s="23">
        <f t="shared" si="52"/>
        <v>3.71</v>
      </c>
      <c r="R22" s="23">
        <f t="shared" si="52"/>
        <v>300.48</v>
      </c>
      <c r="S22" s="23">
        <f t="shared" si="52"/>
        <v>42</v>
      </c>
      <c r="T22" s="23">
        <f t="shared" si="42"/>
        <v>300.48</v>
      </c>
      <c r="U22" s="23">
        <f t="shared" si="43"/>
        <v>24</v>
      </c>
      <c r="V22" s="23">
        <f t="shared" si="44"/>
        <v>11.27</v>
      </c>
      <c r="W22" s="23">
        <f t="shared" si="45"/>
        <v>0.88</v>
      </c>
      <c r="X22" s="23">
        <f t="shared" si="46"/>
        <v>75.12</v>
      </c>
      <c r="Y22" s="23">
        <f t="shared" si="47"/>
        <v>6</v>
      </c>
      <c r="Z22" s="23">
        <v>0</v>
      </c>
      <c r="AA22" s="23">
        <f t="shared" si="13"/>
        <v>6.01</v>
      </c>
      <c r="AB22" s="23">
        <f t="shared" si="14"/>
        <v>0.84</v>
      </c>
      <c r="AC22" s="23">
        <f t="shared" si="15"/>
        <v>1482.04</v>
      </c>
      <c r="AD22" s="23">
        <f t="shared" si="16"/>
        <v>1682.25</v>
      </c>
      <c r="AE22" s="23">
        <f t="shared" si="17"/>
        <v>3164.29</v>
      </c>
      <c r="AF22" s="24"/>
    </row>
    <row r="23" s="1" customFormat="1" ht="40" customHeight="1" spans="1:32">
      <c r="A23" s="21">
        <v>20</v>
      </c>
      <c r="B23" s="25" t="s">
        <v>46</v>
      </c>
      <c r="C23" s="21">
        <v>9</v>
      </c>
      <c r="D23" s="21">
        <f t="shared" si="0"/>
        <v>18900</v>
      </c>
      <c r="E23" s="23">
        <f t="shared" si="37"/>
        <v>5408.64</v>
      </c>
      <c r="F23" s="23">
        <f>12*4*C23+12*3</f>
        <v>468</v>
      </c>
      <c r="G23" s="23">
        <f t="shared" si="38"/>
        <v>236.61</v>
      </c>
      <c r="H23" s="23">
        <f>0.53*4*C23+0.53*3</f>
        <v>20.67</v>
      </c>
      <c r="I23" s="23">
        <f t="shared" si="39"/>
        <v>2704.32</v>
      </c>
      <c r="J23" s="23">
        <f>6*4*C23+6*3</f>
        <v>234</v>
      </c>
      <c r="K23" s="23">
        <f t="shared" si="40"/>
        <v>54.09</v>
      </c>
      <c r="L23" s="23">
        <f>0.12*4*C23+0.12*3</f>
        <v>4.68</v>
      </c>
      <c r="M23" s="23">
        <f t="shared" si="5"/>
        <v>9131.01</v>
      </c>
      <c r="N23" s="23">
        <f t="shared" ref="N23:S23" si="53">E23</f>
        <v>5408.64</v>
      </c>
      <c r="O23" s="23">
        <f t="shared" si="53"/>
        <v>468</v>
      </c>
      <c r="P23" s="23">
        <f t="shared" si="53"/>
        <v>236.61</v>
      </c>
      <c r="Q23" s="23">
        <f t="shared" si="53"/>
        <v>20.67</v>
      </c>
      <c r="R23" s="23">
        <f t="shared" si="53"/>
        <v>2704.32</v>
      </c>
      <c r="S23" s="23">
        <f t="shared" si="53"/>
        <v>234</v>
      </c>
      <c r="T23" s="23">
        <f t="shared" si="42"/>
        <v>2704.32</v>
      </c>
      <c r="U23" s="23">
        <f t="shared" si="43"/>
        <v>216</v>
      </c>
      <c r="V23" s="23">
        <f t="shared" si="44"/>
        <v>101.43</v>
      </c>
      <c r="W23" s="23">
        <f t="shared" si="45"/>
        <v>7.92</v>
      </c>
      <c r="X23" s="23">
        <f t="shared" si="46"/>
        <v>676.08</v>
      </c>
      <c r="Y23" s="23">
        <f t="shared" si="47"/>
        <v>54</v>
      </c>
      <c r="Z23" s="23">
        <v>0</v>
      </c>
      <c r="AA23" s="23">
        <f t="shared" si="13"/>
        <v>54.09</v>
      </c>
      <c r="AB23" s="23">
        <f t="shared" si="14"/>
        <v>4.68</v>
      </c>
      <c r="AC23" s="23">
        <f t="shared" si="15"/>
        <v>12890.76</v>
      </c>
      <c r="AD23" s="23">
        <f t="shared" si="16"/>
        <v>15140.25</v>
      </c>
      <c r="AE23" s="23">
        <f t="shared" si="17"/>
        <v>28031.01</v>
      </c>
      <c r="AF23" s="24"/>
    </row>
    <row r="24" s="1" customFormat="1" ht="40" customHeight="1" spans="1:32">
      <c r="A24" s="21">
        <v>21</v>
      </c>
      <c r="B24" s="22" t="s">
        <v>47</v>
      </c>
      <c r="C24" s="21">
        <v>24</v>
      </c>
      <c r="D24" s="21">
        <f t="shared" si="0"/>
        <v>50400</v>
      </c>
      <c r="E24" s="23">
        <f t="shared" si="37"/>
        <v>14423.04</v>
      </c>
      <c r="F24" s="23">
        <f>12*4*C24+12*7</f>
        <v>1236</v>
      </c>
      <c r="G24" s="23">
        <f t="shared" si="38"/>
        <v>630.96</v>
      </c>
      <c r="H24" s="23">
        <f>0.53*4*C24+0.53*7</f>
        <v>54.59</v>
      </c>
      <c r="I24" s="23">
        <f t="shared" si="39"/>
        <v>7211.52</v>
      </c>
      <c r="J24" s="23">
        <f>6*4*C24+6*7</f>
        <v>618</v>
      </c>
      <c r="K24" s="23">
        <f>18.03*C24</f>
        <v>432.72</v>
      </c>
      <c r="L24" s="23">
        <f>0.36*4*C24+0.36*7</f>
        <v>37.08</v>
      </c>
      <c r="M24" s="23">
        <f t="shared" si="5"/>
        <v>24643.91</v>
      </c>
      <c r="N24" s="23">
        <f t="shared" ref="N24:S24" si="54">E24</f>
        <v>14423.04</v>
      </c>
      <c r="O24" s="23">
        <f t="shared" si="54"/>
        <v>1236</v>
      </c>
      <c r="P24" s="23">
        <f t="shared" si="54"/>
        <v>630.96</v>
      </c>
      <c r="Q24" s="23">
        <f t="shared" si="54"/>
        <v>54.59</v>
      </c>
      <c r="R24" s="23">
        <f t="shared" si="54"/>
        <v>7211.52</v>
      </c>
      <c r="S24" s="23">
        <f t="shared" si="54"/>
        <v>618</v>
      </c>
      <c r="T24" s="23">
        <f t="shared" si="42"/>
        <v>7211.52</v>
      </c>
      <c r="U24" s="23">
        <f t="shared" si="43"/>
        <v>576</v>
      </c>
      <c r="V24" s="23">
        <f t="shared" si="44"/>
        <v>270.48</v>
      </c>
      <c r="W24" s="23">
        <f t="shared" si="45"/>
        <v>21.12</v>
      </c>
      <c r="X24" s="23">
        <f t="shared" si="46"/>
        <v>1802.88</v>
      </c>
      <c r="Y24" s="23">
        <f t="shared" si="47"/>
        <v>144</v>
      </c>
      <c r="Z24" s="23">
        <v>0</v>
      </c>
      <c r="AA24" s="23">
        <f t="shared" si="13"/>
        <v>432.72</v>
      </c>
      <c r="AB24" s="23">
        <f t="shared" si="14"/>
        <v>37.08</v>
      </c>
      <c r="AC24" s="23">
        <f t="shared" si="15"/>
        <v>34669.91</v>
      </c>
      <c r="AD24" s="23">
        <f t="shared" si="16"/>
        <v>40374</v>
      </c>
      <c r="AE24" s="23">
        <f t="shared" si="17"/>
        <v>75043.91</v>
      </c>
      <c r="AF24" s="24"/>
    </row>
    <row r="25" s="1" customFormat="1" ht="40" customHeight="1" spans="1:32">
      <c r="A25" s="21">
        <v>22</v>
      </c>
      <c r="B25" s="26" t="s">
        <v>48</v>
      </c>
      <c r="C25" s="21">
        <v>4</v>
      </c>
      <c r="D25" s="21">
        <f t="shared" si="0"/>
        <v>8400</v>
      </c>
      <c r="E25" s="23">
        <f t="shared" si="37"/>
        <v>2403.84</v>
      </c>
      <c r="F25" s="23">
        <f t="shared" ref="F25:F29" si="55">12*4*C25</f>
        <v>192</v>
      </c>
      <c r="G25" s="23">
        <f t="shared" si="38"/>
        <v>105.16</v>
      </c>
      <c r="H25" s="23">
        <f t="shared" ref="H25:H29" si="56">0.53*4*C25</f>
        <v>8.48</v>
      </c>
      <c r="I25" s="23">
        <f t="shared" si="39"/>
        <v>1201.92</v>
      </c>
      <c r="J25" s="23">
        <f t="shared" ref="J25:J29" si="57">6*4*C25</f>
        <v>96</v>
      </c>
      <c r="K25" s="23">
        <f t="shared" ref="K25:K29" si="58">6.01*C25</f>
        <v>24.04</v>
      </c>
      <c r="L25" s="23">
        <f t="shared" ref="L25:L29" si="59">0.12*4*C25</f>
        <v>1.92</v>
      </c>
      <c r="M25" s="23">
        <f t="shared" si="5"/>
        <v>4033.36</v>
      </c>
      <c r="N25" s="23">
        <f t="shared" ref="N25:S25" si="60">E25</f>
        <v>2403.84</v>
      </c>
      <c r="O25" s="23">
        <f t="shared" si="60"/>
        <v>192</v>
      </c>
      <c r="P25" s="23">
        <f t="shared" si="60"/>
        <v>105.16</v>
      </c>
      <c r="Q25" s="23">
        <f t="shared" si="60"/>
        <v>8.48</v>
      </c>
      <c r="R25" s="23">
        <f t="shared" si="60"/>
        <v>1201.92</v>
      </c>
      <c r="S25" s="23">
        <f t="shared" si="60"/>
        <v>96</v>
      </c>
      <c r="T25" s="23">
        <f t="shared" si="42"/>
        <v>1201.92</v>
      </c>
      <c r="U25" s="23">
        <f t="shared" si="43"/>
        <v>96</v>
      </c>
      <c r="V25" s="23">
        <f t="shared" si="44"/>
        <v>45.08</v>
      </c>
      <c r="W25" s="23">
        <f t="shared" si="45"/>
        <v>3.52</v>
      </c>
      <c r="X25" s="23">
        <f t="shared" si="46"/>
        <v>300.48</v>
      </c>
      <c r="Y25" s="23">
        <f t="shared" si="47"/>
        <v>24</v>
      </c>
      <c r="Z25" s="23">
        <v>0</v>
      </c>
      <c r="AA25" s="23">
        <f t="shared" si="13"/>
        <v>24.04</v>
      </c>
      <c r="AB25" s="23">
        <f t="shared" si="14"/>
        <v>1.92</v>
      </c>
      <c r="AC25" s="23">
        <f t="shared" si="15"/>
        <v>5704.36</v>
      </c>
      <c r="AD25" s="23">
        <f t="shared" si="16"/>
        <v>6729</v>
      </c>
      <c r="AE25" s="23">
        <f t="shared" si="17"/>
        <v>12433.36</v>
      </c>
      <c r="AF25" s="24"/>
    </row>
    <row r="26" s="1" customFormat="1" ht="40" customHeight="1" spans="1:32">
      <c r="A26" s="21">
        <v>23</v>
      </c>
      <c r="B26" s="26" t="s">
        <v>49</v>
      </c>
      <c r="C26" s="21">
        <v>3</v>
      </c>
      <c r="D26" s="21">
        <f t="shared" si="0"/>
        <v>6300</v>
      </c>
      <c r="E26" s="23">
        <f t="shared" si="37"/>
        <v>1802.88</v>
      </c>
      <c r="F26" s="23">
        <f t="shared" si="55"/>
        <v>144</v>
      </c>
      <c r="G26" s="23">
        <f t="shared" si="38"/>
        <v>78.87</v>
      </c>
      <c r="H26" s="23">
        <f t="shared" si="56"/>
        <v>6.36</v>
      </c>
      <c r="I26" s="23">
        <f t="shared" si="39"/>
        <v>901.44</v>
      </c>
      <c r="J26" s="23">
        <f t="shared" si="57"/>
        <v>72</v>
      </c>
      <c r="K26" s="23">
        <f t="shared" si="58"/>
        <v>18.03</v>
      </c>
      <c r="L26" s="23">
        <f t="shared" si="59"/>
        <v>1.44</v>
      </c>
      <c r="M26" s="23">
        <f t="shared" si="5"/>
        <v>3025.02</v>
      </c>
      <c r="N26" s="23">
        <f t="shared" ref="N26:S26" si="61">E26</f>
        <v>1802.88</v>
      </c>
      <c r="O26" s="23">
        <f t="shared" si="61"/>
        <v>144</v>
      </c>
      <c r="P26" s="23">
        <f t="shared" si="61"/>
        <v>78.87</v>
      </c>
      <c r="Q26" s="23">
        <f t="shared" si="61"/>
        <v>6.36</v>
      </c>
      <c r="R26" s="23">
        <f t="shared" si="61"/>
        <v>901.44</v>
      </c>
      <c r="S26" s="23">
        <f t="shared" si="61"/>
        <v>72</v>
      </c>
      <c r="T26" s="23">
        <f t="shared" si="42"/>
        <v>901.44</v>
      </c>
      <c r="U26" s="23">
        <f t="shared" si="43"/>
        <v>72</v>
      </c>
      <c r="V26" s="23">
        <f t="shared" si="44"/>
        <v>33.81</v>
      </c>
      <c r="W26" s="23">
        <f t="shared" si="45"/>
        <v>2.64</v>
      </c>
      <c r="X26" s="23">
        <f t="shared" si="46"/>
        <v>225.36</v>
      </c>
      <c r="Y26" s="23">
        <f t="shared" si="47"/>
        <v>18</v>
      </c>
      <c r="Z26" s="23">
        <v>0</v>
      </c>
      <c r="AA26" s="23">
        <f t="shared" si="13"/>
        <v>18.03</v>
      </c>
      <c r="AB26" s="23">
        <f t="shared" si="14"/>
        <v>1.44</v>
      </c>
      <c r="AC26" s="23">
        <f t="shared" si="15"/>
        <v>4278.27</v>
      </c>
      <c r="AD26" s="23">
        <f t="shared" si="16"/>
        <v>5046.75</v>
      </c>
      <c r="AE26" s="23">
        <f t="shared" si="17"/>
        <v>9325.02</v>
      </c>
      <c r="AF26" s="24"/>
    </row>
    <row r="27" s="1" customFormat="1" ht="40" customHeight="1" spans="1:32">
      <c r="A27" s="21">
        <v>24</v>
      </c>
      <c r="B27" s="26" t="s">
        <v>50</v>
      </c>
      <c r="C27" s="21">
        <v>4</v>
      </c>
      <c r="D27" s="21">
        <f t="shared" si="0"/>
        <v>8400</v>
      </c>
      <c r="E27" s="23">
        <f t="shared" si="37"/>
        <v>2403.84</v>
      </c>
      <c r="F27" s="23">
        <f t="shared" si="55"/>
        <v>192</v>
      </c>
      <c r="G27" s="23">
        <f t="shared" si="38"/>
        <v>105.16</v>
      </c>
      <c r="H27" s="23">
        <f t="shared" si="56"/>
        <v>8.48</v>
      </c>
      <c r="I27" s="23">
        <f t="shared" si="39"/>
        <v>1201.92</v>
      </c>
      <c r="J27" s="23">
        <f t="shared" si="57"/>
        <v>96</v>
      </c>
      <c r="K27" s="23">
        <f t="shared" si="58"/>
        <v>24.04</v>
      </c>
      <c r="L27" s="23">
        <f t="shared" si="59"/>
        <v>1.92</v>
      </c>
      <c r="M27" s="23">
        <f t="shared" si="5"/>
        <v>4033.36</v>
      </c>
      <c r="N27" s="23">
        <f t="shared" ref="N27:S27" si="62">E27</f>
        <v>2403.84</v>
      </c>
      <c r="O27" s="23">
        <f t="shared" si="62"/>
        <v>192</v>
      </c>
      <c r="P27" s="23">
        <f t="shared" si="62"/>
        <v>105.16</v>
      </c>
      <c r="Q27" s="23">
        <f t="shared" si="62"/>
        <v>8.48</v>
      </c>
      <c r="R27" s="23">
        <f t="shared" si="62"/>
        <v>1201.92</v>
      </c>
      <c r="S27" s="23">
        <f t="shared" si="62"/>
        <v>96</v>
      </c>
      <c r="T27" s="23">
        <f t="shared" si="42"/>
        <v>1201.92</v>
      </c>
      <c r="U27" s="23">
        <f t="shared" si="43"/>
        <v>96</v>
      </c>
      <c r="V27" s="23">
        <f t="shared" si="44"/>
        <v>45.08</v>
      </c>
      <c r="W27" s="23">
        <f t="shared" si="45"/>
        <v>3.52</v>
      </c>
      <c r="X27" s="23">
        <f t="shared" si="46"/>
        <v>300.48</v>
      </c>
      <c r="Y27" s="23">
        <f t="shared" si="47"/>
        <v>24</v>
      </c>
      <c r="Z27" s="23">
        <v>0</v>
      </c>
      <c r="AA27" s="23">
        <f t="shared" si="13"/>
        <v>24.04</v>
      </c>
      <c r="AB27" s="23">
        <f t="shared" si="14"/>
        <v>1.92</v>
      </c>
      <c r="AC27" s="23">
        <f t="shared" si="15"/>
        <v>5704.36</v>
      </c>
      <c r="AD27" s="23">
        <f t="shared" si="16"/>
        <v>6729</v>
      </c>
      <c r="AE27" s="23">
        <f t="shared" si="17"/>
        <v>12433.36</v>
      </c>
      <c r="AF27" s="24"/>
    </row>
    <row r="28" s="1" customFormat="1" ht="40" customHeight="1" spans="1:32">
      <c r="A28" s="21">
        <v>25</v>
      </c>
      <c r="B28" s="22" t="s">
        <v>51</v>
      </c>
      <c r="C28" s="21">
        <v>12</v>
      </c>
      <c r="D28" s="21">
        <f t="shared" si="0"/>
        <v>25200</v>
      </c>
      <c r="E28" s="23">
        <f t="shared" si="37"/>
        <v>7211.52</v>
      </c>
      <c r="F28" s="23">
        <f t="shared" si="55"/>
        <v>576</v>
      </c>
      <c r="G28" s="23">
        <f t="shared" si="38"/>
        <v>315.48</v>
      </c>
      <c r="H28" s="23">
        <f t="shared" si="56"/>
        <v>25.44</v>
      </c>
      <c r="I28" s="23">
        <f t="shared" si="39"/>
        <v>3605.76</v>
      </c>
      <c r="J28" s="23">
        <f t="shared" si="57"/>
        <v>288</v>
      </c>
      <c r="K28" s="23">
        <f t="shared" si="58"/>
        <v>72.12</v>
      </c>
      <c r="L28" s="23">
        <f t="shared" si="59"/>
        <v>5.76</v>
      </c>
      <c r="M28" s="23">
        <f t="shared" si="5"/>
        <v>12100.08</v>
      </c>
      <c r="N28" s="23">
        <f t="shared" ref="N28:S28" si="63">E28</f>
        <v>7211.52</v>
      </c>
      <c r="O28" s="23">
        <f t="shared" si="63"/>
        <v>576</v>
      </c>
      <c r="P28" s="23">
        <f t="shared" si="63"/>
        <v>315.48</v>
      </c>
      <c r="Q28" s="23">
        <f t="shared" si="63"/>
        <v>25.44</v>
      </c>
      <c r="R28" s="23">
        <f t="shared" si="63"/>
        <v>3605.76</v>
      </c>
      <c r="S28" s="23">
        <f t="shared" si="63"/>
        <v>288</v>
      </c>
      <c r="T28" s="23">
        <f t="shared" si="42"/>
        <v>3605.76</v>
      </c>
      <c r="U28" s="23">
        <f t="shared" si="43"/>
        <v>288</v>
      </c>
      <c r="V28" s="23">
        <f t="shared" si="44"/>
        <v>135.24</v>
      </c>
      <c r="W28" s="23">
        <f t="shared" si="45"/>
        <v>10.56</v>
      </c>
      <c r="X28" s="23">
        <f t="shared" si="46"/>
        <v>901.44</v>
      </c>
      <c r="Y28" s="23">
        <f t="shared" si="47"/>
        <v>72</v>
      </c>
      <c r="Z28" s="23">
        <v>0</v>
      </c>
      <c r="AA28" s="23">
        <f t="shared" si="13"/>
        <v>72.12</v>
      </c>
      <c r="AB28" s="23">
        <f t="shared" si="14"/>
        <v>5.76</v>
      </c>
      <c r="AC28" s="23">
        <f t="shared" si="15"/>
        <v>17113.08</v>
      </c>
      <c r="AD28" s="23">
        <f t="shared" si="16"/>
        <v>20187</v>
      </c>
      <c r="AE28" s="23">
        <f t="shared" si="17"/>
        <v>37300.08</v>
      </c>
      <c r="AF28" s="24"/>
    </row>
    <row r="29" s="1" customFormat="1" ht="40" customHeight="1" spans="1:32">
      <c r="A29" s="21">
        <v>26</v>
      </c>
      <c r="B29" s="22" t="s">
        <v>52</v>
      </c>
      <c r="C29" s="21">
        <v>10</v>
      </c>
      <c r="D29" s="21">
        <f t="shared" si="0"/>
        <v>21000</v>
      </c>
      <c r="E29" s="23">
        <f t="shared" si="37"/>
        <v>6009.6</v>
      </c>
      <c r="F29" s="23">
        <f t="shared" si="55"/>
        <v>480</v>
      </c>
      <c r="G29" s="23">
        <f t="shared" si="38"/>
        <v>262.9</v>
      </c>
      <c r="H29" s="23">
        <f t="shared" si="56"/>
        <v>21.2</v>
      </c>
      <c r="I29" s="23">
        <f t="shared" si="39"/>
        <v>3004.8</v>
      </c>
      <c r="J29" s="23">
        <f t="shared" si="57"/>
        <v>240</v>
      </c>
      <c r="K29" s="23">
        <f t="shared" si="58"/>
        <v>60.1</v>
      </c>
      <c r="L29" s="23">
        <f t="shared" si="59"/>
        <v>4.8</v>
      </c>
      <c r="M29" s="23">
        <f t="shared" si="5"/>
        <v>10083.4</v>
      </c>
      <c r="N29" s="23">
        <f t="shared" ref="N29:S29" si="64">E29</f>
        <v>6009.6</v>
      </c>
      <c r="O29" s="23">
        <f t="shared" si="64"/>
        <v>480</v>
      </c>
      <c r="P29" s="23">
        <f t="shared" si="64"/>
        <v>262.9</v>
      </c>
      <c r="Q29" s="23">
        <f t="shared" si="64"/>
        <v>21.2</v>
      </c>
      <c r="R29" s="23">
        <f t="shared" si="64"/>
        <v>3004.8</v>
      </c>
      <c r="S29" s="23">
        <f t="shared" si="64"/>
        <v>240</v>
      </c>
      <c r="T29" s="23">
        <f t="shared" si="42"/>
        <v>3004.8</v>
      </c>
      <c r="U29" s="23">
        <f t="shared" si="43"/>
        <v>240</v>
      </c>
      <c r="V29" s="23">
        <f t="shared" si="44"/>
        <v>112.7</v>
      </c>
      <c r="W29" s="23">
        <f t="shared" si="45"/>
        <v>8.8</v>
      </c>
      <c r="X29" s="23">
        <f t="shared" si="46"/>
        <v>751.2</v>
      </c>
      <c r="Y29" s="23">
        <f t="shared" si="47"/>
        <v>60</v>
      </c>
      <c r="Z29" s="23">
        <v>0</v>
      </c>
      <c r="AA29" s="23">
        <f t="shared" si="13"/>
        <v>60.1</v>
      </c>
      <c r="AB29" s="23">
        <f t="shared" si="14"/>
        <v>4.8</v>
      </c>
      <c r="AC29" s="23">
        <f t="shared" si="15"/>
        <v>14260.9</v>
      </c>
      <c r="AD29" s="23">
        <f t="shared" si="16"/>
        <v>16822.5</v>
      </c>
      <c r="AE29" s="23">
        <f t="shared" si="17"/>
        <v>31083.4</v>
      </c>
      <c r="AF29" s="24"/>
    </row>
    <row r="30" s="1" customFormat="1" ht="40" customHeight="1" spans="1:32">
      <c r="A30" s="21">
        <v>27</v>
      </c>
      <c r="B30" s="26" t="s">
        <v>53</v>
      </c>
      <c r="C30" s="21">
        <v>27</v>
      </c>
      <c r="D30" s="21">
        <f t="shared" si="0"/>
        <v>56700</v>
      </c>
      <c r="E30" s="23">
        <f>600.96*25+612.96*2</f>
        <v>16249.92</v>
      </c>
      <c r="F30" s="23">
        <f>12*4*25</f>
        <v>1200</v>
      </c>
      <c r="G30" s="23">
        <f>26.29*25+26.82*2</f>
        <v>710.89</v>
      </c>
      <c r="H30" s="23">
        <f>0.53*4*25</f>
        <v>53</v>
      </c>
      <c r="I30" s="23">
        <f>300.48*25+306.48*2</f>
        <v>8124.96</v>
      </c>
      <c r="J30" s="23">
        <f>6*4*25</f>
        <v>600</v>
      </c>
      <c r="K30" s="23">
        <f>6.01*25+6.13*2</f>
        <v>162.51</v>
      </c>
      <c r="L30" s="23">
        <f>0.12*4*25</f>
        <v>12</v>
      </c>
      <c r="M30" s="23">
        <f t="shared" si="5"/>
        <v>27113.28</v>
      </c>
      <c r="N30" s="23">
        <f t="shared" ref="N30:S30" si="65">E30</f>
        <v>16249.92</v>
      </c>
      <c r="O30" s="23">
        <f t="shared" si="65"/>
        <v>1200</v>
      </c>
      <c r="P30" s="23">
        <f t="shared" si="65"/>
        <v>710.89</v>
      </c>
      <c r="Q30" s="23">
        <f t="shared" si="65"/>
        <v>53</v>
      </c>
      <c r="R30" s="23">
        <f t="shared" si="65"/>
        <v>8124.96</v>
      </c>
      <c r="S30" s="23">
        <f t="shared" si="65"/>
        <v>600</v>
      </c>
      <c r="T30" s="23">
        <f>300.48*25+306.48*2</f>
        <v>8124.96</v>
      </c>
      <c r="U30" s="23">
        <f>6*25*4</f>
        <v>600</v>
      </c>
      <c r="V30" s="23">
        <f>11.27*25+11.49*2</f>
        <v>304.73</v>
      </c>
      <c r="W30" s="23">
        <f>0.22*4*25</f>
        <v>22</v>
      </c>
      <c r="X30" s="23">
        <f>75.12*25+76.62*2</f>
        <v>2031.24</v>
      </c>
      <c r="Y30" s="23">
        <f>1.5*4*25</f>
        <v>150</v>
      </c>
      <c r="Z30" s="23">
        <v>0</v>
      </c>
      <c r="AA30" s="23">
        <f t="shared" si="13"/>
        <v>162.51</v>
      </c>
      <c r="AB30" s="23">
        <f t="shared" si="14"/>
        <v>12</v>
      </c>
      <c r="AC30" s="23">
        <f t="shared" si="15"/>
        <v>38346.21</v>
      </c>
      <c r="AD30" s="23">
        <f t="shared" si="16"/>
        <v>45467.07</v>
      </c>
      <c r="AE30" s="23">
        <f t="shared" si="17"/>
        <v>83813.28</v>
      </c>
      <c r="AF30" s="24"/>
    </row>
    <row r="31" s="1" customFormat="1" ht="40" customHeight="1" spans="1:32">
      <c r="A31" s="21">
        <v>28</v>
      </c>
      <c r="B31" s="22" t="s">
        <v>54</v>
      </c>
      <c r="C31" s="21">
        <v>13</v>
      </c>
      <c r="D31" s="21">
        <f t="shared" si="0"/>
        <v>27300</v>
      </c>
      <c r="E31" s="23">
        <f t="shared" ref="E31:E37" si="66">600.96*C31</f>
        <v>7812.48</v>
      </c>
      <c r="F31" s="23">
        <f t="shared" ref="F31:F35" si="67">12*4*C31</f>
        <v>624</v>
      </c>
      <c r="G31" s="23">
        <f t="shared" ref="G31:G37" si="68">26.29*C31</f>
        <v>341.77</v>
      </c>
      <c r="H31" s="23">
        <f t="shared" ref="H31:H35" si="69">0.53*4*C31</f>
        <v>27.56</v>
      </c>
      <c r="I31" s="23">
        <f t="shared" ref="I31:I37" si="70">300.48*C31</f>
        <v>3906.24</v>
      </c>
      <c r="J31" s="23">
        <f t="shared" ref="J31:J35" si="71">6*4*C31</f>
        <v>312</v>
      </c>
      <c r="K31" s="23">
        <f t="shared" ref="K31:K37" si="72">6.01*C31</f>
        <v>78.13</v>
      </c>
      <c r="L31" s="23">
        <f t="shared" ref="L31:L35" si="73">0.12*4*C31</f>
        <v>6.24</v>
      </c>
      <c r="M31" s="23">
        <f t="shared" si="5"/>
        <v>13108.42</v>
      </c>
      <c r="N31" s="23">
        <f t="shared" ref="N31:S31" si="74">E31</f>
        <v>7812.48</v>
      </c>
      <c r="O31" s="23">
        <f t="shared" si="74"/>
        <v>624</v>
      </c>
      <c r="P31" s="23">
        <f t="shared" si="74"/>
        <v>341.77</v>
      </c>
      <c r="Q31" s="23">
        <f t="shared" si="74"/>
        <v>27.56</v>
      </c>
      <c r="R31" s="23">
        <f t="shared" si="74"/>
        <v>3906.24</v>
      </c>
      <c r="S31" s="23">
        <f t="shared" si="74"/>
        <v>312</v>
      </c>
      <c r="T31" s="23">
        <f t="shared" ref="T31:T37" si="75">300.48*C31</f>
        <v>3906.24</v>
      </c>
      <c r="U31" s="23">
        <f t="shared" ref="U31:U37" si="76">6*C31*4</f>
        <v>312</v>
      </c>
      <c r="V31" s="23">
        <f t="shared" ref="V31:V37" si="77">11.27*C31</f>
        <v>146.51</v>
      </c>
      <c r="W31" s="23">
        <f t="shared" ref="W31:W37" si="78">0.22*4*C31</f>
        <v>11.44</v>
      </c>
      <c r="X31" s="23">
        <f t="shared" ref="X31:X37" si="79">75.12*C31</f>
        <v>976.56</v>
      </c>
      <c r="Y31" s="23">
        <f t="shared" ref="Y31:Y37" si="80">1.5*4*C31</f>
        <v>78</v>
      </c>
      <c r="Z31" s="23">
        <v>0</v>
      </c>
      <c r="AA31" s="23">
        <f t="shared" si="13"/>
        <v>78.13</v>
      </c>
      <c r="AB31" s="23">
        <f t="shared" si="14"/>
        <v>6.24</v>
      </c>
      <c r="AC31" s="23">
        <f t="shared" si="15"/>
        <v>18539.17</v>
      </c>
      <c r="AD31" s="23">
        <f t="shared" si="16"/>
        <v>21869.25</v>
      </c>
      <c r="AE31" s="23">
        <f t="shared" si="17"/>
        <v>40408.42</v>
      </c>
      <c r="AF31" s="24"/>
    </row>
    <row r="32" s="1" customFormat="1" ht="40" customHeight="1" spans="1:32">
      <c r="A32" s="21">
        <v>29</v>
      </c>
      <c r="B32" s="22" t="s">
        <v>55</v>
      </c>
      <c r="C32" s="21">
        <v>7</v>
      </c>
      <c r="D32" s="21">
        <f t="shared" si="0"/>
        <v>14700</v>
      </c>
      <c r="E32" s="23">
        <f t="shared" si="66"/>
        <v>4206.72</v>
      </c>
      <c r="F32" s="23">
        <f t="shared" si="67"/>
        <v>336</v>
      </c>
      <c r="G32" s="23">
        <f t="shared" si="68"/>
        <v>184.03</v>
      </c>
      <c r="H32" s="23">
        <f t="shared" si="69"/>
        <v>14.84</v>
      </c>
      <c r="I32" s="23">
        <f t="shared" si="70"/>
        <v>2103.36</v>
      </c>
      <c r="J32" s="23">
        <f t="shared" si="71"/>
        <v>168</v>
      </c>
      <c r="K32" s="23">
        <f t="shared" si="72"/>
        <v>42.07</v>
      </c>
      <c r="L32" s="23">
        <f t="shared" si="73"/>
        <v>3.36</v>
      </c>
      <c r="M32" s="23">
        <f t="shared" si="5"/>
        <v>7058.38</v>
      </c>
      <c r="N32" s="23">
        <f t="shared" ref="N32:S32" si="81">E32</f>
        <v>4206.72</v>
      </c>
      <c r="O32" s="23">
        <f t="shared" si="81"/>
        <v>336</v>
      </c>
      <c r="P32" s="23">
        <f t="shared" si="81"/>
        <v>184.03</v>
      </c>
      <c r="Q32" s="23">
        <f t="shared" si="81"/>
        <v>14.84</v>
      </c>
      <c r="R32" s="23">
        <f t="shared" si="81"/>
        <v>2103.36</v>
      </c>
      <c r="S32" s="23">
        <f t="shared" si="81"/>
        <v>168</v>
      </c>
      <c r="T32" s="23">
        <f t="shared" si="75"/>
        <v>2103.36</v>
      </c>
      <c r="U32" s="23">
        <f t="shared" si="76"/>
        <v>168</v>
      </c>
      <c r="V32" s="23">
        <f t="shared" si="77"/>
        <v>78.89</v>
      </c>
      <c r="W32" s="23">
        <f t="shared" si="78"/>
        <v>6.16</v>
      </c>
      <c r="X32" s="23">
        <f t="shared" si="79"/>
        <v>525.84</v>
      </c>
      <c r="Y32" s="23">
        <f t="shared" si="80"/>
        <v>42</v>
      </c>
      <c r="Z32" s="23">
        <v>0</v>
      </c>
      <c r="AA32" s="23">
        <f t="shared" si="13"/>
        <v>42.07</v>
      </c>
      <c r="AB32" s="23">
        <f t="shared" si="14"/>
        <v>3.36</v>
      </c>
      <c r="AC32" s="23">
        <f t="shared" si="15"/>
        <v>9982.63</v>
      </c>
      <c r="AD32" s="23">
        <f t="shared" si="16"/>
        <v>11775.75</v>
      </c>
      <c r="AE32" s="23">
        <f t="shared" si="17"/>
        <v>21758.38</v>
      </c>
      <c r="AF32" s="24"/>
    </row>
    <row r="33" s="1" customFormat="1" ht="40" customHeight="1" spans="1:32">
      <c r="A33" s="21">
        <v>30</v>
      </c>
      <c r="B33" s="25" t="s">
        <v>56</v>
      </c>
      <c r="C33" s="21">
        <v>17</v>
      </c>
      <c r="D33" s="21">
        <f t="shared" si="0"/>
        <v>35700</v>
      </c>
      <c r="E33" s="23">
        <f t="shared" si="66"/>
        <v>10216.32</v>
      </c>
      <c r="F33" s="23">
        <f>12*4*C33+12*3</f>
        <v>852</v>
      </c>
      <c r="G33" s="23">
        <f t="shared" si="68"/>
        <v>446.93</v>
      </c>
      <c r="H33" s="23">
        <f>0.53*4*C33+0.53*3</f>
        <v>37.63</v>
      </c>
      <c r="I33" s="23">
        <f t="shared" si="70"/>
        <v>5108.16</v>
      </c>
      <c r="J33" s="23">
        <f>6*4*C33+6*3</f>
        <v>426</v>
      </c>
      <c r="K33" s="23">
        <f t="shared" si="72"/>
        <v>102.17</v>
      </c>
      <c r="L33" s="23">
        <f>0.12*4*C33+0.12*3</f>
        <v>8.52</v>
      </c>
      <c r="M33" s="23">
        <f t="shared" si="5"/>
        <v>17197.73</v>
      </c>
      <c r="N33" s="23">
        <f t="shared" ref="N33:S33" si="82">E33</f>
        <v>10216.32</v>
      </c>
      <c r="O33" s="23">
        <f t="shared" si="82"/>
        <v>852</v>
      </c>
      <c r="P33" s="23">
        <f t="shared" si="82"/>
        <v>446.93</v>
      </c>
      <c r="Q33" s="23">
        <f t="shared" si="82"/>
        <v>37.63</v>
      </c>
      <c r="R33" s="23">
        <f t="shared" si="82"/>
        <v>5108.16</v>
      </c>
      <c r="S33" s="23">
        <f t="shared" si="82"/>
        <v>426</v>
      </c>
      <c r="T33" s="23">
        <f t="shared" si="75"/>
        <v>5108.16</v>
      </c>
      <c r="U33" s="23">
        <f t="shared" si="76"/>
        <v>408</v>
      </c>
      <c r="V33" s="23">
        <f t="shared" si="77"/>
        <v>191.59</v>
      </c>
      <c r="W33" s="23">
        <f t="shared" si="78"/>
        <v>14.96</v>
      </c>
      <c r="X33" s="23">
        <f t="shared" si="79"/>
        <v>1277.04</v>
      </c>
      <c r="Y33" s="23">
        <f t="shared" si="80"/>
        <v>102</v>
      </c>
      <c r="Z33" s="23">
        <v>0</v>
      </c>
      <c r="AA33" s="23">
        <f t="shared" si="13"/>
        <v>102.17</v>
      </c>
      <c r="AB33" s="23">
        <f t="shared" si="14"/>
        <v>8.52</v>
      </c>
      <c r="AC33" s="23">
        <f t="shared" si="15"/>
        <v>24299.48</v>
      </c>
      <c r="AD33" s="23">
        <f t="shared" si="16"/>
        <v>28598.25</v>
      </c>
      <c r="AE33" s="23">
        <f t="shared" si="17"/>
        <v>52897.73</v>
      </c>
      <c r="AF33" s="24"/>
    </row>
    <row r="34" s="1" customFormat="1" ht="40" customHeight="1" spans="1:32">
      <c r="A34" s="21">
        <v>31</v>
      </c>
      <c r="B34" s="25" t="s">
        <v>57</v>
      </c>
      <c r="C34" s="21">
        <v>4</v>
      </c>
      <c r="D34" s="21">
        <f t="shared" si="0"/>
        <v>8400</v>
      </c>
      <c r="E34" s="23">
        <f t="shared" si="66"/>
        <v>2403.84</v>
      </c>
      <c r="F34" s="23">
        <f t="shared" si="67"/>
        <v>192</v>
      </c>
      <c r="G34" s="23">
        <f t="shared" si="68"/>
        <v>105.16</v>
      </c>
      <c r="H34" s="23">
        <f t="shared" si="69"/>
        <v>8.48</v>
      </c>
      <c r="I34" s="23">
        <f t="shared" si="70"/>
        <v>1201.92</v>
      </c>
      <c r="J34" s="23">
        <f t="shared" si="71"/>
        <v>96</v>
      </c>
      <c r="K34" s="23">
        <f t="shared" si="72"/>
        <v>24.04</v>
      </c>
      <c r="L34" s="23">
        <f t="shared" si="73"/>
        <v>1.92</v>
      </c>
      <c r="M34" s="23">
        <f t="shared" si="5"/>
        <v>4033.36</v>
      </c>
      <c r="N34" s="23">
        <f t="shared" ref="N34:S34" si="83">E34</f>
        <v>2403.84</v>
      </c>
      <c r="O34" s="23">
        <f t="shared" si="83"/>
        <v>192</v>
      </c>
      <c r="P34" s="23">
        <f t="shared" si="83"/>
        <v>105.16</v>
      </c>
      <c r="Q34" s="23">
        <f t="shared" si="83"/>
        <v>8.48</v>
      </c>
      <c r="R34" s="23">
        <f t="shared" si="83"/>
        <v>1201.92</v>
      </c>
      <c r="S34" s="23">
        <f t="shared" si="83"/>
        <v>96</v>
      </c>
      <c r="T34" s="23">
        <f t="shared" si="75"/>
        <v>1201.92</v>
      </c>
      <c r="U34" s="23">
        <f t="shared" si="76"/>
        <v>96</v>
      </c>
      <c r="V34" s="23">
        <f t="shared" si="77"/>
        <v>45.08</v>
      </c>
      <c r="W34" s="23">
        <f t="shared" si="78"/>
        <v>3.52</v>
      </c>
      <c r="X34" s="23">
        <f t="shared" si="79"/>
        <v>300.48</v>
      </c>
      <c r="Y34" s="23">
        <f t="shared" si="80"/>
        <v>24</v>
      </c>
      <c r="Z34" s="23">
        <v>0</v>
      </c>
      <c r="AA34" s="23">
        <f t="shared" si="13"/>
        <v>24.04</v>
      </c>
      <c r="AB34" s="23">
        <f t="shared" si="14"/>
        <v>1.92</v>
      </c>
      <c r="AC34" s="23">
        <f t="shared" si="15"/>
        <v>5704.36</v>
      </c>
      <c r="AD34" s="23">
        <f t="shared" si="16"/>
        <v>6729</v>
      </c>
      <c r="AE34" s="23">
        <f t="shared" si="17"/>
        <v>12433.36</v>
      </c>
      <c r="AF34" s="24"/>
    </row>
    <row r="35" s="1" customFormat="1" ht="40" customHeight="1" spans="1:32">
      <c r="A35" s="21">
        <v>32</v>
      </c>
      <c r="B35" s="26" t="s">
        <v>58</v>
      </c>
      <c r="C35" s="21">
        <v>9</v>
      </c>
      <c r="D35" s="21">
        <f t="shared" si="0"/>
        <v>18900</v>
      </c>
      <c r="E35" s="23">
        <f t="shared" si="66"/>
        <v>5408.64</v>
      </c>
      <c r="F35" s="23">
        <f t="shared" si="67"/>
        <v>432</v>
      </c>
      <c r="G35" s="23">
        <f t="shared" si="68"/>
        <v>236.61</v>
      </c>
      <c r="H35" s="23">
        <f t="shared" si="69"/>
        <v>19.08</v>
      </c>
      <c r="I35" s="23">
        <f t="shared" si="70"/>
        <v>2704.32</v>
      </c>
      <c r="J35" s="23">
        <f t="shared" si="71"/>
        <v>216</v>
      </c>
      <c r="K35" s="23">
        <f t="shared" si="72"/>
        <v>54.09</v>
      </c>
      <c r="L35" s="23">
        <f t="shared" si="73"/>
        <v>4.32</v>
      </c>
      <c r="M35" s="23">
        <f t="shared" si="5"/>
        <v>9075.06</v>
      </c>
      <c r="N35" s="23">
        <f t="shared" ref="N35:S35" si="84">E35</f>
        <v>5408.64</v>
      </c>
      <c r="O35" s="23">
        <f t="shared" si="84"/>
        <v>432</v>
      </c>
      <c r="P35" s="23">
        <f t="shared" si="84"/>
        <v>236.61</v>
      </c>
      <c r="Q35" s="23">
        <f t="shared" si="84"/>
        <v>19.08</v>
      </c>
      <c r="R35" s="23">
        <f t="shared" si="84"/>
        <v>2704.32</v>
      </c>
      <c r="S35" s="23">
        <f t="shared" si="84"/>
        <v>216</v>
      </c>
      <c r="T35" s="23">
        <f t="shared" si="75"/>
        <v>2704.32</v>
      </c>
      <c r="U35" s="23">
        <f t="shared" si="76"/>
        <v>216</v>
      </c>
      <c r="V35" s="23">
        <f t="shared" si="77"/>
        <v>101.43</v>
      </c>
      <c r="W35" s="23">
        <f t="shared" si="78"/>
        <v>7.92</v>
      </c>
      <c r="X35" s="23">
        <f t="shared" si="79"/>
        <v>676.08</v>
      </c>
      <c r="Y35" s="23">
        <f t="shared" si="80"/>
        <v>54</v>
      </c>
      <c r="Z35" s="23">
        <v>0</v>
      </c>
      <c r="AA35" s="23">
        <f t="shared" si="13"/>
        <v>54.09</v>
      </c>
      <c r="AB35" s="23">
        <f t="shared" si="14"/>
        <v>4.32</v>
      </c>
      <c r="AC35" s="23">
        <f t="shared" si="15"/>
        <v>12834.81</v>
      </c>
      <c r="AD35" s="23">
        <f t="shared" si="16"/>
        <v>15140.25</v>
      </c>
      <c r="AE35" s="23">
        <f t="shared" si="17"/>
        <v>27975.06</v>
      </c>
      <c r="AF35" s="24"/>
    </row>
    <row r="36" s="1" customFormat="1" ht="40" customHeight="1" spans="1:32">
      <c r="A36" s="21">
        <v>33</v>
      </c>
      <c r="B36" s="27" t="s">
        <v>59</v>
      </c>
      <c r="C36" s="21">
        <v>4</v>
      </c>
      <c r="D36" s="21">
        <f t="shared" si="0"/>
        <v>8400</v>
      </c>
      <c r="E36" s="23">
        <f t="shared" si="66"/>
        <v>2403.84</v>
      </c>
      <c r="F36" s="23">
        <f>12*4*C36+12*3+12*2</f>
        <v>252</v>
      </c>
      <c r="G36" s="23">
        <f t="shared" si="68"/>
        <v>105.16</v>
      </c>
      <c r="H36" s="23">
        <f>0.53*4*C36+0.53*3+0.53*2</f>
        <v>11.13</v>
      </c>
      <c r="I36" s="23">
        <f t="shared" si="70"/>
        <v>1201.92</v>
      </c>
      <c r="J36" s="23">
        <f>6*4*C36+6*3+6*2</f>
        <v>126</v>
      </c>
      <c r="K36" s="23">
        <f t="shared" si="72"/>
        <v>24.04</v>
      </c>
      <c r="L36" s="23">
        <f>0.12*4*C36+0.12*3+0.12*2</f>
        <v>2.52</v>
      </c>
      <c r="M36" s="23">
        <f t="shared" si="5"/>
        <v>4126.61</v>
      </c>
      <c r="N36" s="23">
        <f t="shared" ref="N36:S36" si="85">E36</f>
        <v>2403.84</v>
      </c>
      <c r="O36" s="23">
        <f t="shared" si="85"/>
        <v>252</v>
      </c>
      <c r="P36" s="23">
        <f t="shared" si="85"/>
        <v>105.16</v>
      </c>
      <c r="Q36" s="23">
        <f t="shared" si="85"/>
        <v>11.13</v>
      </c>
      <c r="R36" s="23">
        <f t="shared" si="85"/>
        <v>1201.92</v>
      </c>
      <c r="S36" s="23">
        <f t="shared" si="85"/>
        <v>126</v>
      </c>
      <c r="T36" s="23">
        <f t="shared" si="75"/>
        <v>1201.92</v>
      </c>
      <c r="U36" s="23">
        <f t="shared" si="76"/>
        <v>96</v>
      </c>
      <c r="V36" s="23">
        <f t="shared" si="77"/>
        <v>45.08</v>
      </c>
      <c r="W36" s="23">
        <f t="shared" si="78"/>
        <v>3.52</v>
      </c>
      <c r="X36" s="23">
        <f t="shared" si="79"/>
        <v>300.48</v>
      </c>
      <c r="Y36" s="23">
        <f t="shared" si="80"/>
        <v>24</v>
      </c>
      <c r="Z36" s="23">
        <v>0</v>
      </c>
      <c r="AA36" s="23">
        <f t="shared" si="13"/>
        <v>24.04</v>
      </c>
      <c r="AB36" s="23">
        <f t="shared" si="14"/>
        <v>2.52</v>
      </c>
      <c r="AC36" s="23">
        <f t="shared" si="15"/>
        <v>5797.61</v>
      </c>
      <c r="AD36" s="23">
        <f t="shared" si="16"/>
        <v>6729</v>
      </c>
      <c r="AE36" s="23">
        <f t="shared" si="17"/>
        <v>12526.61</v>
      </c>
      <c r="AF36" s="24"/>
    </row>
    <row r="37" s="1" customFormat="1" ht="40" customHeight="1" spans="1:32">
      <c r="A37" s="21">
        <v>34</v>
      </c>
      <c r="B37" s="27" t="s">
        <v>60</v>
      </c>
      <c r="C37" s="21">
        <v>7</v>
      </c>
      <c r="D37" s="21">
        <f t="shared" si="0"/>
        <v>14700</v>
      </c>
      <c r="E37" s="23">
        <f t="shared" si="66"/>
        <v>4206.72</v>
      </c>
      <c r="F37" s="23">
        <f>12*4*C37+12</f>
        <v>348</v>
      </c>
      <c r="G37" s="23">
        <f t="shared" si="68"/>
        <v>184.03</v>
      </c>
      <c r="H37" s="23">
        <f>0.53*4*C37+0.53</f>
        <v>15.37</v>
      </c>
      <c r="I37" s="23">
        <f t="shared" si="70"/>
        <v>2103.36</v>
      </c>
      <c r="J37" s="23">
        <f>6*4*C37+6</f>
        <v>174</v>
      </c>
      <c r="K37" s="23">
        <f t="shared" si="72"/>
        <v>42.07</v>
      </c>
      <c r="L37" s="23">
        <f>0.12*4*C37+0.12</f>
        <v>3.48</v>
      </c>
      <c r="M37" s="23">
        <f t="shared" si="5"/>
        <v>7077.03</v>
      </c>
      <c r="N37" s="23">
        <f t="shared" ref="N37:S37" si="86">E37</f>
        <v>4206.72</v>
      </c>
      <c r="O37" s="23">
        <f t="shared" si="86"/>
        <v>348</v>
      </c>
      <c r="P37" s="23">
        <f t="shared" si="86"/>
        <v>184.03</v>
      </c>
      <c r="Q37" s="23">
        <f t="shared" si="86"/>
        <v>15.37</v>
      </c>
      <c r="R37" s="23">
        <f t="shared" si="86"/>
        <v>2103.36</v>
      </c>
      <c r="S37" s="23">
        <f t="shared" si="86"/>
        <v>174</v>
      </c>
      <c r="T37" s="23">
        <f t="shared" si="75"/>
        <v>2103.36</v>
      </c>
      <c r="U37" s="23">
        <f t="shared" si="76"/>
        <v>168</v>
      </c>
      <c r="V37" s="23">
        <f t="shared" si="77"/>
        <v>78.89</v>
      </c>
      <c r="W37" s="23">
        <f t="shared" si="78"/>
        <v>6.16</v>
      </c>
      <c r="X37" s="23">
        <f t="shared" si="79"/>
        <v>525.84</v>
      </c>
      <c r="Y37" s="23">
        <f t="shared" si="80"/>
        <v>42</v>
      </c>
      <c r="Z37" s="23">
        <v>0</v>
      </c>
      <c r="AA37" s="23">
        <f t="shared" si="13"/>
        <v>42.07</v>
      </c>
      <c r="AB37" s="23">
        <f t="shared" si="14"/>
        <v>3.48</v>
      </c>
      <c r="AC37" s="23">
        <f t="shared" si="15"/>
        <v>10001.28</v>
      </c>
      <c r="AD37" s="23">
        <f t="shared" si="16"/>
        <v>11775.75</v>
      </c>
      <c r="AE37" s="23">
        <f t="shared" si="17"/>
        <v>21777.03</v>
      </c>
      <c r="AF37" s="24"/>
    </row>
    <row r="38" s="1" customFormat="1" ht="40" customHeight="1" spans="1:32">
      <c r="A38" s="21">
        <v>35</v>
      </c>
      <c r="B38" s="27" t="s">
        <v>61</v>
      </c>
      <c r="C38" s="21">
        <v>5</v>
      </c>
      <c r="D38" s="21">
        <f t="shared" si="0"/>
        <v>10500</v>
      </c>
      <c r="E38" s="23">
        <f>600.96*4+612.96</f>
        <v>3016.8</v>
      </c>
      <c r="F38" s="23">
        <f>12*4*4</f>
        <v>192</v>
      </c>
      <c r="G38" s="23">
        <f>26.29*4+26.82</f>
        <v>131.98</v>
      </c>
      <c r="H38" s="23">
        <f>0.53*4*4</f>
        <v>8.48</v>
      </c>
      <c r="I38" s="23">
        <f>300.48*4+306.48</f>
        <v>1508.4</v>
      </c>
      <c r="J38" s="23">
        <f>6*4*4</f>
        <v>96</v>
      </c>
      <c r="K38" s="23">
        <f>6.01*4+6.13</f>
        <v>30.17</v>
      </c>
      <c r="L38" s="23">
        <f>0.12*4*4</f>
        <v>1.92</v>
      </c>
      <c r="M38" s="23">
        <f t="shared" si="5"/>
        <v>4985.75</v>
      </c>
      <c r="N38" s="23">
        <f t="shared" ref="N38:S38" si="87">E38</f>
        <v>3016.8</v>
      </c>
      <c r="O38" s="23">
        <f t="shared" si="87"/>
        <v>192</v>
      </c>
      <c r="P38" s="23">
        <f t="shared" si="87"/>
        <v>131.98</v>
      </c>
      <c r="Q38" s="23">
        <f t="shared" si="87"/>
        <v>8.48</v>
      </c>
      <c r="R38" s="23">
        <f t="shared" si="87"/>
        <v>1508.4</v>
      </c>
      <c r="S38" s="23">
        <f t="shared" si="87"/>
        <v>96</v>
      </c>
      <c r="T38" s="23">
        <f>300.48*4+306.48</f>
        <v>1508.4</v>
      </c>
      <c r="U38" s="23">
        <f>6*4*4</f>
        <v>96</v>
      </c>
      <c r="V38" s="23">
        <f>11.27*4+11.49</f>
        <v>56.57</v>
      </c>
      <c r="W38" s="23">
        <f>0.22*4*4</f>
        <v>3.52</v>
      </c>
      <c r="X38" s="23">
        <f>75.12*4+76.62</f>
        <v>377.1</v>
      </c>
      <c r="Y38" s="23">
        <f>1.5*4*4</f>
        <v>24</v>
      </c>
      <c r="Z38" s="23">
        <v>0</v>
      </c>
      <c r="AA38" s="23">
        <f t="shared" si="13"/>
        <v>30.17</v>
      </c>
      <c r="AB38" s="23">
        <f t="shared" si="14"/>
        <v>1.92</v>
      </c>
      <c r="AC38" s="23">
        <f t="shared" si="15"/>
        <v>7051.34</v>
      </c>
      <c r="AD38" s="23">
        <f t="shared" si="16"/>
        <v>8434.41</v>
      </c>
      <c r="AE38" s="23">
        <f t="shared" si="17"/>
        <v>15485.75</v>
      </c>
      <c r="AF38" s="24"/>
    </row>
    <row r="39" s="1" customFormat="1" ht="40" customHeight="1" spans="1:32">
      <c r="A39" s="21">
        <v>36</v>
      </c>
      <c r="B39" s="26" t="s">
        <v>62</v>
      </c>
      <c r="C39" s="21">
        <v>6</v>
      </c>
      <c r="D39" s="21">
        <f t="shared" si="0"/>
        <v>12600</v>
      </c>
      <c r="E39" s="23">
        <f t="shared" ref="E39:E56" si="88">600.96*C39</f>
        <v>3605.76</v>
      </c>
      <c r="F39" s="23">
        <f t="shared" ref="F39:F46" si="89">12*4*C39</f>
        <v>288</v>
      </c>
      <c r="G39" s="23">
        <f t="shared" ref="G39:G56" si="90">26.29*C39</f>
        <v>157.74</v>
      </c>
      <c r="H39" s="23">
        <f t="shared" ref="H39:H46" si="91">0.53*4*C39</f>
        <v>12.72</v>
      </c>
      <c r="I39" s="23">
        <f t="shared" ref="I39:I56" si="92">300.48*C39</f>
        <v>1802.88</v>
      </c>
      <c r="J39" s="23">
        <f t="shared" ref="J39:J46" si="93">6*4*C39</f>
        <v>144</v>
      </c>
      <c r="K39" s="23">
        <f t="shared" ref="K39:K56" si="94">6.01*C39</f>
        <v>36.06</v>
      </c>
      <c r="L39" s="23">
        <f t="shared" ref="L39:L46" si="95">0.12*4*C39</f>
        <v>2.88</v>
      </c>
      <c r="M39" s="23">
        <f t="shared" si="5"/>
        <v>6050.04</v>
      </c>
      <c r="N39" s="23">
        <f t="shared" ref="N39:S39" si="96">E39</f>
        <v>3605.76</v>
      </c>
      <c r="O39" s="23">
        <f t="shared" si="96"/>
        <v>288</v>
      </c>
      <c r="P39" s="23">
        <f t="shared" si="96"/>
        <v>157.74</v>
      </c>
      <c r="Q39" s="23">
        <f t="shared" si="96"/>
        <v>12.72</v>
      </c>
      <c r="R39" s="23">
        <f t="shared" si="96"/>
        <v>1802.88</v>
      </c>
      <c r="S39" s="23">
        <f t="shared" si="96"/>
        <v>144</v>
      </c>
      <c r="T39" s="23">
        <f t="shared" ref="T39:T56" si="97">300.48*C39</f>
        <v>1802.88</v>
      </c>
      <c r="U39" s="23">
        <f t="shared" ref="U39:U48" si="98">6*C39*4</f>
        <v>144</v>
      </c>
      <c r="V39" s="23">
        <f t="shared" ref="V39:V56" si="99">11.27*C39</f>
        <v>67.62</v>
      </c>
      <c r="W39" s="23">
        <f t="shared" ref="W39:W48" si="100">0.22*4*C39</f>
        <v>5.28</v>
      </c>
      <c r="X39" s="23">
        <f t="shared" ref="X39:X56" si="101">75.12*C39</f>
        <v>450.72</v>
      </c>
      <c r="Y39" s="23">
        <f t="shared" ref="Y39:Y48" si="102">1.5*4*C39</f>
        <v>36</v>
      </c>
      <c r="Z39" s="23">
        <v>0</v>
      </c>
      <c r="AA39" s="23">
        <f t="shared" si="13"/>
        <v>36.06</v>
      </c>
      <c r="AB39" s="23">
        <f t="shared" si="14"/>
        <v>2.88</v>
      </c>
      <c r="AC39" s="23">
        <f t="shared" si="15"/>
        <v>8556.54</v>
      </c>
      <c r="AD39" s="23">
        <f t="shared" si="16"/>
        <v>10093.5</v>
      </c>
      <c r="AE39" s="23">
        <f t="shared" si="17"/>
        <v>18650.04</v>
      </c>
      <c r="AF39" s="24"/>
    </row>
    <row r="40" s="1" customFormat="1" ht="40" customHeight="1" spans="1:32">
      <c r="A40" s="21">
        <v>37</v>
      </c>
      <c r="B40" s="28" t="s">
        <v>63</v>
      </c>
      <c r="C40" s="21">
        <v>32</v>
      </c>
      <c r="D40" s="21">
        <f t="shared" si="0"/>
        <v>67200</v>
      </c>
      <c r="E40" s="23">
        <f t="shared" si="88"/>
        <v>19230.72</v>
      </c>
      <c r="F40" s="23">
        <f>12*4*C40+12+12*2</f>
        <v>1572</v>
      </c>
      <c r="G40" s="23">
        <f t="shared" si="90"/>
        <v>841.28</v>
      </c>
      <c r="H40" s="23">
        <f>0.53*4*C40+0.53+0.53*2</f>
        <v>69.43</v>
      </c>
      <c r="I40" s="23">
        <f t="shared" si="92"/>
        <v>9615.36</v>
      </c>
      <c r="J40" s="23">
        <f>6*4*C40+6+6*2</f>
        <v>786</v>
      </c>
      <c r="K40" s="23">
        <f t="shared" si="94"/>
        <v>192.32</v>
      </c>
      <c r="L40" s="23">
        <f>0.12*4*C40+0.12+0.12*2</f>
        <v>15.72</v>
      </c>
      <c r="M40" s="23">
        <f t="shared" si="5"/>
        <v>32322.83</v>
      </c>
      <c r="N40" s="23">
        <f t="shared" ref="N40:S40" si="103">E40</f>
        <v>19230.72</v>
      </c>
      <c r="O40" s="23">
        <f t="shared" si="103"/>
        <v>1572</v>
      </c>
      <c r="P40" s="23">
        <f t="shared" si="103"/>
        <v>841.28</v>
      </c>
      <c r="Q40" s="23">
        <f t="shared" si="103"/>
        <v>69.43</v>
      </c>
      <c r="R40" s="23">
        <f t="shared" si="103"/>
        <v>9615.36</v>
      </c>
      <c r="S40" s="23">
        <f t="shared" si="103"/>
        <v>786</v>
      </c>
      <c r="T40" s="23">
        <f t="shared" si="97"/>
        <v>9615.36</v>
      </c>
      <c r="U40" s="23">
        <f t="shared" si="98"/>
        <v>768</v>
      </c>
      <c r="V40" s="23">
        <f t="shared" si="99"/>
        <v>360.64</v>
      </c>
      <c r="W40" s="23">
        <f t="shared" si="100"/>
        <v>28.16</v>
      </c>
      <c r="X40" s="23">
        <f t="shared" si="101"/>
        <v>2403.84</v>
      </c>
      <c r="Y40" s="23">
        <f t="shared" si="102"/>
        <v>192</v>
      </c>
      <c r="Z40" s="23">
        <v>0</v>
      </c>
      <c r="AA40" s="23">
        <f t="shared" si="13"/>
        <v>192.32</v>
      </c>
      <c r="AB40" s="23">
        <f t="shared" si="14"/>
        <v>15.72</v>
      </c>
      <c r="AC40" s="23">
        <f t="shared" si="15"/>
        <v>45690.83</v>
      </c>
      <c r="AD40" s="23">
        <f t="shared" si="16"/>
        <v>53832</v>
      </c>
      <c r="AE40" s="23">
        <f t="shared" si="17"/>
        <v>99522.83</v>
      </c>
      <c r="AF40" s="24"/>
    </row>
    <row r="41" s="1" customFormat="1" ht="40" customHeight="1" spans="1:32">
      <c r="A41" s="21">
        <v>38</v>
      </c>
      <c r="B41" s="25" t="s">
        <v>64</v>
      </c>
      <c r="C41" s="21">
        <v>21</v>
      </c>
      <c r="D41" s="21">
        <f t="shared" si="0"/>
        <v>44100</v>
      </c>
      <c r="E41" s="23">
        <f t="shared" si="88"/>
        <v>12620.16</v>
      </c>
      <c r="F41" s="23">
        <f t="shared" si="89"/>
        <v>1008</v>
      </c>
      <c r="G41" s="23">
        <f t="shared" si="90"/>
        <v>552.09</v>
      </c>
      <c r="H41" s="23">
        <f t="shared" si="91"/>
        <v>44.52</v>
      </c>
      <c r="I41" s="23">
        <f t="shared" si="92"/>
        <v>6310.08</v>
      </c>
      <c r="J41" s="23">
        <f t="shared" si="93"/>
        <v>504</v>
      </c>
      <c r="K41" s="23">
        <f t="shared" si="94"/>
        <v>126.21</v>
      </c>
      <c r="L41" s="23">
        <f t="shared" si="95"/>
        <v>10.08</v>
      </c>
      <c r="M41" s="23">
        <f t="shared" si="5"/>
        <v>21175.14</v>
      </c>
      <c r="N41" s="23">
        <f t="shared" ref="N41:S41" si="104">E41</f>
        <v>12620.16</v>
      </c>
      <c r="O41" s="23">
        <f t="shared" si="104"/>
        <v>1008</v>
      </c>
      <c r="P41" s="23">
        <f t="shared" si="104"/>
        <v>552.09</v>
      </c>
      <c r="Q41" s="23">
        <f t="shared" si="104"/>
        <v>44.52</v>
      </c>
      <c r="R41" s="23">
        <f t="shared" si="104"/>
        <v>6310.08</v>
      </c>
      <c r="S41" s="23">
        <f t="shared" si="104"/>
        <v>504</v>
      </c>
      <c r="T41" s="23">
        <f t="shared" si="97"/>
        <v>6310.08</v>
      </c>
      <c r="U41" s="23">
        <f t="shared" si="98"/>
        <v>504</v>
      </c>
      <c r="V41" s="23">
        <f t="shared" si="99"/>
        <v>236.67</v>
      </c>
      <c r="W41" s="23">
        <f t="shared" si="100"/>
        <v>18.48</v>
      </c>
      <c r="X41" s="23">
        <f t="shared" si="101"/>
        <v>1577.52</v>
      </c>
      <c r="Y41" s="23">
        <f t="shared" si="102"/>
        <v>126</v>
      </c>
      <c r="Z41" s="23">
        <v>0</v>
      </c>
      <c r="AA41" s="23">
        <f t="shared" si="13"/>
        <v>126.21</v>
      </c>
      <c r="AB41" s="23">
        <f t="shared" si="14"/>
        <v>10.08</v>
      </c>
      <c r="AC41" s="23">
        <f t="shared" si="15"/>
        <v>29947.89</v>
      </c>
      <c r="AD41" s="23">
        <f t="shared" si="16"/>
        <v>35327.25</v>
      </c>
      <c r="AE41" s="23">
        <f t="shared" si="17"/>
        <v>65275.14</v>
      </c>
      <c r="AF41" s="24"/>
    </row>
    <row r="42" s="1" customFormat="1" ht="40" customHeight="1" spans="1:32">
      <c r="A42" s="21">
        <v>39</v>
      </c>
      <c r="B42" s="25" t="s">
        <v>65</v>
      </c>
      <c r="C42" s="21">
        <v>1</v>
      </c>
      <c r="D42" s="21">
        <f t="shared" si="0"/>
        <v>2100</v>
      </c>
      <c r="E42" s="23">
        <f t="shared" si="88"/>
        <v>600.96</v>
      </c>
      <c r="F42" s="23">
        <f t="shared" si="89"/>
        <v>48</v>
      </c>
      <c r="G42" s="23">
        <f t="shared" si="90"/>
        <v>26.29</v>
      </c>
      <c r="H42" s="23">
        <f t="shared" si="91"/>
        <v>2.12</v>
      </c>
      <c r="I42" s="23">
        <f t="shared" si="92"/>
        <v>300.48</v>
      </c>
      <c r="J42" s="23">
        <f t="shared" si="93"/>
        <v>24</v>
      </c>
      <c r="K42" s="23">
        <f t="shared" si="94"/>
        <v>6.01</v>
      </c>
      <c r="L42" s="23">
        <f t="shared" si="95"/>
        <v>0.48</v>
      </c>
      <c r="M42" s="23">
        <f t="shared" si="5"/>
        <v>1008.34</v>
      </c>
      <c r="N42" s="23">
        <f t="shared" ref="N42:S42" si="105">E42</f>
        <v>600.96</v>
      </c>
      <c r="O42" s="23">
        <f t="shared" si="105"/>
        <v>48</v>
      </c>
      <c r="P42" s="23">
        <f t="shared" si="105"/>
        <v>26.29</v>
      </c>
      <c r="Q42" s="23">
        <f t="shared" si="105"/>
        <v>2.12</v>
      </c>
      <c r="R42" s="23">
        <f t="shared" si="105"/>
        <v>300.48</v>
      </c>
      <c r="S42" s="23">
        <f t="shared" si="105"/>
        <v>24</v>
      </c>
      <c r="T42" s="23">
        <f t="shared" si="97"/>
        <v>300.48</v>
      </c>
      <c r="U42" s="23">
        <f t="shared" si="98"/>
        <v>24</v>
      </c>
      <c r="V42" s="23">
        <f t="shared" si="99"/>
        <v>11.27</v>
      </c>
      <c r="W42" s="23">
        <f t="shared" si="100"/>
        <v>0.88</v>
      </c>
      <c r="X42" s="23">
        <f t="shared" si="101"/>
        <v>75.12</v>
      </c>
      <c r="Y42" s="23">
        <f t="shared" si="102"/>
        <v>6</v>
      </c>
      <c r="Z42" s="23">
        <v>0</v>
      </c>
      <c r="AA42" s="23">
        <f t="shared" si="13"/>
        <v>6.01</v>
      </c>
      <c r="AB42" s="23">
        <f t="shared" si="14"/>
        <v>0.48</v>
      </c>
      <c r="AC42" s="23">
        <f t="shared" si="15"/>
        <v>1426.09</v>
      </c>
      <c r="AD42" s="23">
        <f t="shared" si="16"/>
        <v>1682.25</v>
      </c>
      <c r="AE42" s="23">
        <f t="shared" si="17"/>
        <v>3108.34</v>
      </c>
      <c r="AF42" s="24"/>
    </row>
    <row r="43" s="1" customFormat="1" ht="40" customHeight="1" spans="1:32">
      <c r="A43" s="21">
        <v>40</v>
      </c>
      <c r="B43" s="25" t="s">
        <v>66</v>
      </c>
      <c r="C43" s="21">
        <v>3</v>
      </c>
      <c r="D43" s="21">
        <f t="shared" si="0"/>
        <v>6300</v>
      </c>
      <c r="E43" s="23">
        <f t="shared" si="88"/>
        <v>1802.88</v>
      </c>
      <c r="F43" s="23">
        <f t="shared" si="89"/>
        <v>144</v>
      </c>
      <c r="G43" s="23">
        <f t="shared" si="90"/>
        <v>78.87</v>
      </c>
      <c r="H43" s="23">
        <f t="shared" si="91"/>
        <v>6.36</v>
      </c>
      <c r="I43" s="23">
        <f t="shared" si="92"/>
        <v>901.44</v>
      </c>
      <c r="J43" s="23">
        <f t="shared" si="93"/>
        <v>72</v>
      </c>
      <c r="K43" s="23">
        <f t="shared" si="94"/>
        <v>18.03</v>
      </c>
      <c r="L43" s="23">
        <f t="shared" si="95"/>
        <v>1.44</v>
      </c>
      <c r="M43" s="23">
        <f t="shared" si="5"/>
        <v>3025.02</v>
      </c>
      <c r="N43" s="23">
        <f t="shared" ref="N43:S43" si="106">E43</f>
        <v>1802.88</v>
      </c>
      <c r="O43" s="23">
        <f t="shared" si="106"/>
        <v>144</v>
      </c>
      <c r="P43" s="23">
        <f t="shared" si="106"/>
        <v>78.87</v>
      </c>
      <c r="Q43" s="23">
        <f t="shared" si="106"/>
        <v>6.36</v>
      </c>
      <c r="R43" s="23">
        <f t="shared" si="106"/>
        <v>901.44</v>
      </c>
      <c r="S43" s="23">
        <f t="shared" si="106"/>
        <v>72</v>
      </c>
      <c r="T43" s="23">
        <f t="shared" si="97"/>
        <v>901.44</v>
      </c>
      <c r="U43" s="23">
        <f t="shared" si="98"/>
        <v>72</v>
      </c>
      <c r="V43" s="23">
        <f t="shared" si="99"/>
        <v>33.81</v>
      </c>
      <c r="W43" s="23">
        <f t="shared" si="100"/>
        <v>2.64</v>
      </c>
      <c r="X43" s="23">
        <f t="shared" si="101"/>
        <v>225.36</v>
      </c>
      <c r="Y43" s="23">
        <f t="shared" si="102"/>
        <v>18</v>
      </c>
      <c r="Z43" s="23">
        <v>0</v>
      </c>
      <c r="AA43" s="23">
        <f t="shared" si="13"/>
        <v>18.03</v>
      </c>
      <c r="AB43" s="23">
        <f t="shared" si="14"/>
        <v>1.44</v>
      </c>
      <c r="AC43" s="23">
        <f t="shared" si="15"/>
        <v>4278.27</v>
      </c>
      <c r="AD43" s="23">
        <f t="shared" si="16"/>
        <v>5046.75</v>
      </c>
      <c r="AE43" s="23">
        <f t="shared" si="17"/>
        <v>9325.02</v>
      </c>
      <c r="AF43" s="24"/>
    </row>
    <row r="44" s="1" customFormat="1" ht="40" customHeight="1" spans="1:32">
      <c r="A44" s="21">
        <v>41</v>
      </c>
      <c r="B44" s="25" t="s">
        <v>67</v>
      </c>
      <c r="C44" s="21">
        <v>10</v>
      </c>
      <c r="D44" s="21">
        <f t="shared" si="0"/>
        <v>21000</v>
      </c>
      <c r="E44" s="23">
        <f t="shared" si="88"/>
        <v>6009.6</v>
      </c>
      <c r="F44" s="23">
        <f t="shared" si="89"/>
        <v>480</v>
      </c>
      <c r="G44" s="23">
        <f t="shared" si="90"/>
        <v>262.9</v>
      </c>
      <c r="H44" s="23">
        <f t="shared" si="91"/>
        <v>21.2</v>
      </c>
      <c r="I44" s="23">
        <f t="shared" si="92"/>
        <v>3004.8</v>
      </c>
      <c r="J44" s="23">
        <f t="shared" si="93"/>
        <v>240</v>
      </c>
      <c r="K44" s="23">
        <f t="shared" si="94"/>
        <v>60.1</v>
      </c>
      <c r="L44" s="23">
        <f t="shared" si="95"/>
        <v>4.8</v>
      </c>
      <c r="M44" s="23">
        <f t="shared" si="5"/>
        <v>10083.4</v>
      </c>
      <c r="N44" s="23">
        <f t="shared" ref="N44:S44" si="107">E44</f>
        <v>6009.6</v>
      </c>
      <c r="O44" s="23">
        <f t="shared" si="107"/>
        <v>480</v>
      </c>
      <c r="P44" s="23">
        <f t="shared" si="107"/>
        <v>262.9</v>
      </c>
      <c r="Q44" s="23">
        <f t="shared" si="107"/>
        <v>21.2</v>
      </c>
      <c r="R44" s="23">
        <f t="shared" si="107"/>
        <v>3004.8</v>
      </c>
      <c r="S44" s="23">
        <f t="shared" si="107"/>
        <v>240</v>
      </c>
      <c r="T44" s="23">
        <f t="shared" si="97"/>
        <v>3004.8</v>
      </c>
      <c r="U44" s="23">
        <f t="shared" si="98"/>
        <v>240</v>
      </c>
      <c r="V44" s="23">
        <f t="shared" si="99"/>
        <v>112.7</v>
      </c>
      <c r="W44" s="23">
        <f t="shared" si="100"/>
        <v>8.8</v>
      </c>
      <c r="X44" s="23">
        <f t="shared" si="101"/>
        <v>751.2</v>
      </c>
      <c r="Y44" s="23">
        <f t="shared" si="102"/>
        <v>60</v>
      </c>
      <c r="Z44" s="23">
        <v>0</v>
      </c>
      <c r="AA44" s="23">
        <f t="shared" si="13"/>
        <v>60.1</v>
      </c>
      <c r="AB44" s="23">
        <f t="shared" si="14"/>
        <v>4.8</v>
      </c>
      <c r="AC44" s="23">
        <f t="shared" si="15"/>
        <v>14260.9</v>
      </c>
      <c r="AD44" s="23">
        <f t="shared" si="16"/>
        <v>16822.5</v>
      </c>
      <c r="AE44" s="23">
        <f t="shared" si="17"/>
        <v>31083.4</v>
      </c>
      <c r="AF44" s="24"/>
    </row>
    <row r="45" s="1" customFormat="1" ht="40" customHeight="1" spans="1:32">
      <c r="A45" s="21">
        <v>42</v>
      </c>
      <c r="B45" s="25" t="s">
        <v>68</v>
      </c>
      <c r="C45" s="21">
        <v>2</v>
      </c>
      <c r="D45" s="21">
        <f t="shared" si="0"/>
        <v>4200</v>
      </c>
      <c r="E45" s="23">
        <f t="shared" si="88"/>
        <v>1201.92</v>
      </c>
      <c r="F45" s="23">
        <f t="shared" si="89"/>
        <v>96</v>
      </c>
      <c r="G45" s="23">
        <f t="shared" si="90"/>
        <v>52.58</v>
      </c>
      <c r="H45" s="23">
        <f t="shared" si="91"/>
        <v>4.24</v>
      </c>
      <c r="I45" s="23">
        <f t="shared" si="92"/>
        <v>600.96</v>
      </c>
      <c r="J45" s="23">
        <f t="shared" si="93"/>
        <v>48</v>
      </c>
      <c r="K45" s="23">
        <f t="shared" si="94"/>
        <v>12.02</v>
      </c>
      <c r="L45" s="23">
        <f t="shared" si="95"/>
        <v>0.96</v>
      </c>
      <c r="M45" s="23">
        <f t="shared" si="5"/>
        <v>2016.68</v>
      </c>
      <c r="N45" s="23">
        <f t="shared" ref="N45:S45" si="108">E45</f>
        <v>1201.92</v>
      </c>
      <c r="O45" s="23">
        <f t="shared" si="108"/>
        <v>96</v>
      </c>
      <c r="P45" s="23">
        <f t="shared" si="108"/>
        <v>52.58</v>
      </c>
      <c r="Q45" s="23">
        <f t="shared" si="108"/>
        <v>4.24</v>
      </c>
      <c r="R45" s="23">
        <f t="shared" si="108"/>
        <v>600.96</v>
      </c>
      <c r="S45" s="23">
        <f t="shared" si="108"/>
        <v>48</v>
      </c>
      <c r="T45" s="23">
        <f t="shared" si="97"/>
        <v>600.96</v>
      </c>
      <c r="U45" s="23">
        <f t="shared" si="98"/>
        <v>48</v>
      </c>
      <c r="V45" s="23">
        <f t="shared" si="99"/>
        <v>22.54</v>
      </c>
      <c r="W45" s="23">
        <f t="shared" si="100"/>
        <v>1.76</v>
      </c>
      <c r="X45" s="23">
        <f t="shared" si="101"/>
        <v>150.24</v>
      </c>
      <c r="Y45" s="23">
        <f t="shared" si="102"/>
        <v>12</v>
      </c>
      <c r="Z45" s="23">
        <v>0</v>
      </c>
      <c r="AA45" s="23">
        <f t="shared" si="13"/>
        <v>12.02</v>
      </c>
      <c r="AB45" s="23">
        <f t="shared" si="14"/>
        <v>0.96</v>
      </c>
      <c r="AC45" s="23">
        <f t="shared" si="15"/>
        <v>2852.18</v>
      </c>
      <c r="AD45" s="23">
        <f t="shared" si="16"/>
        <v>3364.5</v>
      </c>
      <c r="AE45" s="23">
        <f t="shared" si="17"/>
        <v>6216.68</v>
      </c>
      <c r="AF45" s="24"/>
    </row>
    <row r="46" s="1" customFormat="1" ht="40" customHeight="1" spans="1:32">
      <c r="A46" s="21">
        <v>43</v>
      </c>
      <c r="B46" s="25" t="s">
        <v>69</v>
      </c>
      <c r="C46" s="21">
        <v>1</v>
      </c>
      <c r="D46" s="21">
        <f t="shared" si="0"/>
        <v>2100</v>
      </c>
      <c r="E46" s="23">
        <f t="shared" si="88"/>
        <v>600.96</v>
      </c>
      <c r="F46" s="23">
        <f t="shared" si="89"/>
        <v>48</v>
      </c>
      <c r="G46" s="23">
        <f t="shared" si="90"/>
        <v>26.29</v>
      </c>
      <c r="H46" s="23">
        <f t="shared" si="91"/>
        <v>2.12</v>
      </c>
      <c r="I46" s="23">
        <f t="shared" si="92"/>
        <v>300.48</v>
      </c>
      <c r="J46" s="23">
        <f t="shared" si="93"/>
        <v>24</v>
      </c>
      <c r="K46" s="23">
        <f t="shared" si="94"/>
        <v>6.01</v>
      </c>
      <c r="L46" s="23">
        <f t="shared" si="95"/>
        <v>0.48</v>
      </c>
      <c r="M46" s="23">
        <f t="shared" si="5"/>
        <v>1008.34</v>
      </c>
      <c r="N46" s="23">
        <f t="shared" ref="N46:S46" si="109">E46</f>
        <v>600.96</v>
      </c>
      <c r="O46" s="23">
        <f t="shared" si="109"/>
        <v>48</v>
      </c>
      <c r="P46" s="23">
        <f t="shared" si="109"/>
        <v>26.29</v>
      </c>
      <c r="Q46" s="23">
        <f t="shared" si="109"/>
        <v>2.12</v>
      </c>
      <c r="R46" s="23">
        <f t="shared" si="109"/>
        <v>300.48</v>
      </c>
      <c r="S46" s="23">
        <f t="shared" si="109"/>
        <v>24</v>
      </c>
      <c r="T46" s="23">
        <f t="shared" si="97"/>
        <v>300.48</v>
      </c>
      <c r="U46" s="23">
        <f t="shared" si="98"/>
        <v>24</v>
      </c>
      <c r="V46" s="23">
        <f t="shared" si="99"/>
        <v>11.27</v>
      </c>
      <c r="W46" s="23">
        <f t="shared" si="100"/>
        <v>0.88</v>
      </c>
      <c r="X46" s="23">
        <f t="shared" si="101"/>
        <v>75.12</v>
      </c>
      <c r="Y46" s="23">
        <f t="shared" si="102"/>
        <v>6</v>
      </c>
      <c r="Z46" s="23">
        <v>0</v>
      </c>
      <c r="AA46" s="23">
        <f t="shared" si="13"/>
        <v>6.01</v>
      </c>
      <c r="AB46" s="23">
        <f t="shared" si="14"/>
        <v>0.48</v>
      </c>
      <c r="AC46" s="23">
        <f t="shared" si="15"/>
        <v>1426.09</v>
      </c>
      <c r="AD46" s="23">
        <f t="shared" si="16"/>
        <v>1682.25</v>
      </c>
      <c r="AE46" s="23">
        <f t="shared" si="17"/>
        <v>3108.34</v>
      </c>
      <c r="AF46" s="24"/>
    </row>
    <row r="47" s="1" customFormat="1" ht="40" customHeight="1" spans="1:32">
      <c r="A47" s="21">
        <v>44</v>
      </c>
      <c r="B47" s="25" t="s">
        <v>70</v>
      </c>
      <c r="C47" s="21">
        <v>14</v>
      </c>
      <c r="D47" s="21">
        <f t="shared" si="0"/>
        <v>29400</v>
      </c>
      <c r="E47" s="23">
        <f t="shared" si="88"/>
        <v>8413.44</v>
      </c>
      <c r="F47" s="23">
        <f>12*4*C47+12+12*2</f>
        <v>708</v>
      </c>
      <c r="G47" s="23">
        <f t="shared" si="90"/>
        <v>368.06</v>
      </c>
      <c r="H47" s="23">
        <f>0.53*4*C47+0.53+0.53*2</f>
        <v>31.27</v>
      </c>
      <c r="I47" s="23">
        <f t="shared" si="92"/>
        <v>4206.72</v>
      </c>
      <c r="J47" s="23">
        <f>6*4*C47+6+6*2</f>
        <v>354</v>
      </c>
      <c r="K47" s="23">
        <f t="shared" si="94"/>
        <v>84.14</v>
      </c>
      <c r="L47" s="23">
        <f>0.12*4*C47+0.12+0.12*2</f>
        <v>7.08</v>
      </c>
      <c r="M47" s="23">
        <f t="shared" si="5"/>
        <v>14172.71</v>
      </c>
      <c r="N47" s="23">
        <f t="shared" ref="N47:S47" si="110">E47</f>
        <v>8413.44</v>
      </c>
      <c r="O47" s="23">
        <f t="shared" si="110"/>
        <v>708</v>
      </c>
      <c r="P47" s="23">
        <f t="shared" si="110"/>
        <v>368.06</v>
      </c>
      <c r="Q47" s="23">
        <f t="shared" si="110"/>
        <v>31.27</v>
      </c>
      <c r="R47" s="23">
        <f t="shared" si="110"/>
        <v>4206.72</v>
      </c>
      <c r="S47" s="23">
        <f t="shared" si="110"/>
        <v>354</v>
      </c>
      <c r="T47" s="23">
        <f t="shared" si="97"/>
        <v>4206.72</v>
      </c>
      <c r="U47" s="23">
        <f t="shared" si="98"/>
        <v>336</v>
      </c>
      <c r="V47" s="23">
        <f t="shared" si="99"/>
        <v>157.78</v>
      </c>
      <c r="W47" s="23">
        <f t="shared" si="100"/>
        <v>12.32</v>
      </c>
      <c r="X47" s="23">
        <f t="shared" si="101"/>
        <v>1051.68</v>
      </c>
      <c r="Y47" s="23">
        <f t="shared" si="102"/>
        <v>84</v>
      </c>
      <c r="Z47" s="23">
        <v>0</v>
      </c>
      <c r="AA47" s="23">
        <f t="shared" si="13"/>
        <v>84.14</v>
      </c>
      <c r="AB47" s="23">
        <f t="shared" si="14"/>
        <v>7.08</v>
      </c>
      <c r="AC47" s="23">
        <f t="shared" si="15"/>
        <v>20021.21</v>
      </c>
      <c r="AD47" s="23">
        <f t="shared" si="16"/>
        <v>23551.5</v>
      </c>
      <c r="AE47" s="23">
        <f t="shared" si="17"/>
        <v>43572.71</v>
      </c>
      <c r="AF47" s="24"/>
    </row>
    <row r="48" s="1" customFormat="1" ht="40" customHeight="1" spans="1:32">
      <c r="A48" s="21">
        <v>45</v>
      </c>
      <c r="B48" s="25" t="s">
        <v>71</v>
      </c>
      <c r="C48" s="21">
        <v>5</v>
      </c>
      <c r="D48" s="21">
        <f t="shared" si="0"/>
        <v>10500</v>
      </c>
      <c r="E48" s="23">
        <f t="shared" si="88"/>
        <v>3004.8</v>
      </c>
      <c r="F48" s="23">
        <f t="shared" ref="F48:F53" si="111">12*4*C48</f>
        <v>240</v>
      </c>
      <c r="G48" s="23">
        <f t="shared" si="90"/>
        <v>131.45</v>
      </c>
      <c r="H48" s="23">
        <f t="shared" ref="H48:H53" si="112">0.53*4*C48</f>
        <v>10.6</v>
      </c>
      <c r="I48" s="23">
        <f t="shared" si="92"/>
        <v>1502.4</v>
      </c>
      <c r="J48" s="23">
        <f t="shared" ref="J48:J53" si="113">6*4*C48</f>
        <v>120</v>
      </c>
      <c r="K48" s="23">
        <f t="shared" si="94"/>
        <v>30.05</v>
      </c>
      <c r="L48" s="23">
        <f t="shared" ref="L48:L53" si="114">0.12*4*C48</f>
        <v>2.4</v>
      </c>
      <c r="M48" s="23">
        <f t="shared" si="5"/>
        <v>5041.7</v>
      </c>
      <c r="N48" s="23">
        <f t="shared" ref="N48:S48" si="115">E48</f>
        <v>3004.8</v>
      </c>
      <c r="O48" s="23">
        <f t="shared" si="115"/>
        <v>240</v>
      </c>
      <c r="P48" s="23">
        <f t="shared" si="115"/>
        <v>131.45</v>
      </c>
      <c r="Q48" s="23">
        <f t="shared" si="115"/>
        <v>10.6</v>
      </c>
      <c r="R48" s="23">
        <f t="shared" si="115"/>
        <v>1502.4</v>
      </c>
      <c r="S48" s="23">
        <f t="shared" si="115"/>
        <v>120</v>
      </c>
      <c r="T48" s="23">
        <f t="shared" si="97"/>
        <v>1502.4</v>
      </c>
      <c r="U48" s="23">
        <f t="shared" si="98"/>
        <v>120</v>
      </c>
      <c r="V48" s="23">
        <f t="shared" si="99"/>
        <v>56.35</v>
      </c>
      <c r="W48" s="23">
        <f t="shared" si="100"/>
        <v>4.4</v>
      </c>
      <c r="X48" s="23">
        <f t="shared" si="101"/>
        <v>375.6</v>
      </c>
      <c r="Y48" s="23">
        <f t="shared" si="102"/>
        <v>30</v>
      </c>
      <c r="Z48" s="23">
        <v>0</v>
      </c>
      <c r="AA48" s="23">
        <f t="shared" si="13"/>
        <v>30.05</v>
      </c>
      <c r="AB48" s="23">
        <f t="shared" si="14"/>
        <v>2.4</v>
      </c>
      <c r="AC48" s="23">
        <f t="shared" si="15"/>
        <v>7130.45</v>
      </c>
      <c r="AD48" s="23">
        <f t="shared" si="16"/>
        <v>8411.25</v>
      </c>
      <c r="AE48" s="23">
        <f t="shared" si="17"/>
        <v>15541.7</v>
      </c>
      <c r="AF48" s="24"/>
    </row>
    <row r="49" s="1" customFormat="1" ht="40" customHeight="1" spans="1:32">
      <c r="A49" s="21">
        <v>46</v>
      </c>
      <c r="B49" s="25" t="s">
        <v>72</v>
      </c>
      <c r="C49" s="21">
        <v>3</v>
      </c>
      <c r="D49" s="21">
        <f t="shared" si="0"/>
        <v>6300</v>
      </c>
      <c r="E49" s="23">
        <f t="shared" si="88"/>
        <v>1802.88</v>
      </c>
      <c r="F49" s="23">
        <v>0</v>
      </c>
      <c r="G49" s="23">
        <f t="shared" si="90"/>
        <v>78.87</v>
      </c>
      <c r="H49" s="23">
        <v>0</v>
      </c>
      <c r="I49" s="23">
        <f t="shared" si="92"/>
        <v>901.44</v>
      </c>
      <c r="J49" s="23">
        <v>0</v>
      </c>
      <c r="K49" s="23">
        <f t="shared" si="94"/>
        <v>18.03</v>
      </c>
      <c r="L49" s="23">
        <v>0</v>
      </c>
      <c r="M49" s="23">
        <f t="shared" si="5"/>
        <v>2801.22</v>
      </c>
      <c r="N49" s="23">
        <f t="shared" ref="N49:S49" si="116">E49</f>
        <v>1802.88</v>
      </c>
      <c r="O49" s="23">
        <f t="shared" si="116"/>
        <v>0</v>
      </c>
      <c r="P49" s="23">
        <f t="shared" si="116"/>
        <v>78.87</v>
      </c>
      <c r="Q49" s="23">
        <f t="shared" si="116"/>
        <v>0</v>
      </c>
      <c r="R49" s="23">
        <f t="shared" si="116"/>
        <v>901.44</v>
      </c>
      <c r="S49" s="23">
        <f t="shared" si="116"/>
        <v>0</v>
      </c>
      <c r="T49" s="23">
        <f t="shared" si="97"/>
        <v>901.44</v>
      </c>
      <c r="U49" s="23">
        <v>0</v>
      </c>
      <c r="V49" s="23">
        <f t="shared" si="99"/>
        <v>33.81</v>
      </c>
      <c r="W49" s="23">
        <v>0</v>
      </c>
      <c r="X49" s="23">
        <f t="shared" si="101"/>
        <v>225.36</v>
      </c>
      <c r="Y49" s="23">
        <v>0</v>
      </c>
      <c r="Z49" s="23">
        <v>0</v>
      </c>
      <c r="AA49" s="23">
        <f t="shared" si="13"/>
        <v>18.03</v>
      </c>
      <c r="AB49" s="23">
        <f t="shared" si="14"/>
        <v>0</v>
      </c>
      <c r="AC49" s="23">
        <f t="shared" si="15"/>
        <v>3961.83</v>
      </c>
      <c r="AD49" s="23">
        <f t="shared" si="16"/>
        <v>5139.39</v>
      </c>
      <c r="AE49" s="23">
        <f t="shared" si="17"/>
        <v>9101.22</v>
      </c>
      <c r="AF49" s="29" t="s">
        <v>73</v>
      </c>
    </row>
    <row r="50" s="1" customFormat="1" ht="40" customHeight="1" spans="1:32">
      <c r="A50" s="21">
        <v>47</v>
      </c>
      <c r="B50" s="25" t="s">
        <v>74</v>
      </c>
      <c r="C50" s="21">
        <v>9</v>
      </c>
      <c r="D50" s="21">
        <f t="shared" si="0"/>
        <v>18900</v>
      </c>
      <c r="E50" s="23">
        <f t="shared" si="88"/>
        <v>5408.64</v>
      </c>
      <c r="F50" s="23">
        <f>12*4*8+12+12*2</f>
        <v>420</v>
      </c>
      <c r="G50" s="23">
        <f t="shared" si="90"/>
        <v>236.61</v>
      </c>
      <c r="H50" s="23">
        <f>0.53*4*8+0.53+0.53*2</f>
        <v>18.55</v>
      </c>
      <c r="I50" s="23">
        <f t="shared" si="92"/>
        <v>2704.32</v>
      </c>
      <c r="J50" s="23">
        <f>6*4*8+6+6*2</f>
        <v>210</v>
      </c>
      <c r="K50" s="23">
        <f t="shared" si="94"/>
        <v>54.09</v>
      </c>
      <c r="L50" s="23">
        <f>0.12*4*8+0.12+0.12*2</f>
        <v>4.2</v>
      </c>
      <c r="M50" s="23">
        <f t="shared" si="5"/>
        <v>9056.41</v>
      </c>
      <c r="N50" s="23">
        <f t="shared" ref="N50:S50" si="117">E50</f>
        <v>5408.64</v>
      </c>
      <c r="O50" s="23">
        <f t="shared" si="117"/>
        <v>420</v>
      </c>
      <c r="P50" s="23">
        <f t="shared" si="117"/>
        <v>236.61</v>
      </c>
      <c r="Q50" s="23">
        <f t="shared" si="117"/>
        <v>18.55</v>
      </c>
      <c r="R50" s="23">
        <f t="shared" si="117"/>
        <v>2704.32</v>
      </c>
      <c r="S50" s="23">
        <f t="shared" si="117"/>
        <v>210</v>
      </c>
      <c r="T50" s="23">
        <f t="shared" si="97"/>
        <v>2704.32</v>
      </c>
      <c r="U50" s="23">
        <f>6*8*4+6</f>
        <v>198</v>
      </c>
      <c r="V50" s="23">
        <f t="shared" si="99"/>
        <v>101.43</v>
      </c>
      <c r="W50" s="23">
        <f>0.22*4*8+0.22</f>
        <v>7.26</v>
      </c>
      <c r="X50" s="23">
        <f t="shared" si="101"/>
        <v>676.08</v>
      </c>
      <c r="Y50" s="23">
        <f>1.5*4*8+1.5</f>
        <v>49.5</v>
      </c>
      <c r="Z50" s="23">
        <v>0</v>
      </c>
      <c r="AA50" s="23">
        <f t="shared" si="13"/>
        <v>54.09</v>
      </c>
      <c r="AB50" s="23">
        <f t="shared" si="14"/>
        <v>4.2</v>
      </c>
      <c r="AC50" s="23">
        <f t="shared" si="15"/>
        <v>12793</v>
      </c>
      <c r="AD50" s="23">
        <f t="shared" si="16"/>
        <v>15163.41</v>
      </c>
      <c r="AE50" s="23">
        <f t="shared" si="17"/>
        <v>27956.41</v>
      </c>
      <c r="AF50" s="24"/>
    </row>
    <row r="51" s="1" customFormat="1" ht="40" customHeight="1" spans="1:32">
      <c r="A51" s="21">
        <v>48</v>
      </c>
      <c r="B51" s="25" t="s">
        <v>75</v>
      </c>
      <c r="C51" s="21">
        <v>3</v>
      </c>
      <c r="D51" s="21">
        <f t="shared" si="0"/>
        <v>6300</v>
      </c>
      <c r="E51" s="23">
        <f t="shared" si="88"/>
        <v>1802.88</v>
      </c>
      <c r="F51" s="23">
        <f t="shared" si="111"/>
        <v>144</v>
      </c>
      <c r="G51" s="23">
        <f t="shared" si="90"/>
        <v>78.87</v>
      </c>
      <c r="H51" s="23">
        <f t="shared" si="112"/>
        <v>6.36</v>
      </c>
      <c r="I51" s="23">
        <f t="shared" si="92"/>
        <v>901.44</v>
      </c>
      <c r="J51" s="23">
        <f t="shared" si="113"/>
        <v>72</v>
      </c>
      <c r="K51" s="23">
        <f t="shared" si="94"/>
        <v>18.03</v>
      </c>
      <c r="L51" s="23">
        <f t="shared" si="114"/>
        <v>1.44</v>
      </c>
      <c r="M51" s="23">
        <f t="shared" si="5"/>
        <v>3025.02</v>
      </c>
      <c r="N51" s="23">
        <f t="shared" ref="N51:S51" si="118">E51</f>
        <v>1802.88</v>
      </c>
      <c r="O51" s="23">
        <f t="shared" si="118"/>
        <v>144</v>
      </c>
      <c r="P51" s="23">
        <f t="shared" si="118"/>
        <v>78.87</v>
      </c>
      <c r="Q51" s="23">
        <f t="shared" si="118"/>
        <v>6.36</v>
      </c>
      <c r="R51" s="23">
        <f t="shared" si="118"/>
        <v>901.44</v>
      </c>
      <c r="S51" s="23">
        <f t="shared" si="118"/>
        <v>72</v>
      </c>
      <c r="T51" s="23">
        <f t="shared" si="97"/>
        <v>901.44</v>
      </c>
      <c r="U51" s="23">
        <f t="shared" ref="U51:U56" si="119">6*C51*4</f>
        <v>72</v>
      </c>
      <c r="V51" s="23">
        <f t="shared" si="99"/>
        <v>33.81</v>
      </c>
      <c r="W51" s="23">
        <f t="shared" ref="W51:W56" si="120">0.22*4*C51</f>
        <v>2.64</v>
      </c>
      <c r="X51" s="23">
        <f t="shared" si="101"/>
        <v>225.36</v>
      </c>
      <c r="Y51" s="23">
        <f t="shared" ref="Y51:Y56" si="121">1.5*4*C51</f>
        <v>18</v>
      </c>
      <c r="Z51" s="23">
        <v>0</v>
      </c>
      <c r="AA51" s="23">
        <f t="shared" si="13"/>
        <v>18.03</v>
      </c>
      <c r="AB51" s="23">
        <f t="shared" si="14"/>
        <v>1.44</v>
      </c>
      <c r="AC51" s="23">
        <f t="shared" si="15"/>
        <v>4278.27</v>
      </c>
      <c r="AD51" s="23">
        <f t="shared" si="16"/>
        <v>5046.75</v>
      </c>
      <c r="AE51" s="23">
        <f t="shared" si="17"/>
        <v>9325.02</v>
      </c>
      <c r="AF51" s="24"/>
    </row>
    <row r="52" s="1" customFormat="1" ht="40" customHeight="1" spans="1:32">
      <c r="A52" s="21">
        <v>49</v>
      </c>
      <c r="B52" s="25" t="s">
        <v>76</v>
      </c>
      <c r="C52" s="21">
        <v>1</v>
      </c>
      <c r="D52" s="21">
        <f t="shared" si="0"/>
        <v>2100</v>
      </c>
      <c r="E52" s="23">
        <f t="shared" si="88"/>
        <v>600.96</v>
      </c>
      <c r="F52" s="23">
        <f t="shared" si="111"/>
        <v>48</v>
      </c>
      <c r="G52" s="23">
        <f t="shared" si="90"/>
        <v>26.29</v>
      </c>
      <c r="H52" s="23">
        <f t="shared" si="112"/>
        <v>2.12</v>
      </c>
      <c r="I52" s="23">
        <f t="shared" si="92"/>
        <v>300.48</v>
      </c>
      <c r="J52" s="23">
        <f t="shared" si="113"/>
        <v>24</v>
      </c>
      <c r="K52" s="23">
        <f t="shared" si="94"/>
        <v>6.01</v>
      </c>
      <c r="L52" s="23">
        <f t="shared" si="114"/>
        <v>0.48</v>
      </c>
      <c r="M52" s="23">
        <f t="shared" si="5"/>
        <v>1008.34</v>
      </c>
      <c r="N52" s="23">
        <f t="shared" ref="N52:S52" si="122">E52</f>
        <v>600.96</v>
      </c>
      <c r="O52" s="23">
        <f t="shared" si="122"/>
        <v>48</v>
      </c>
      <c r="P52" s="23">
        <f t="shared" si="122"/>
        <v>26.29</v>
      </c>
      <c r="Q52" s="23">
        <f t="shared" si="122"/>
        <v>2.12</v>
      </c>
      <c r="R52" s="23">
        <f t="shared" si="122"/>
        <v>300.48</v>
      </c>
      <c r="S52" s="23">
        <f t="shared" si="122"/>
        <v>24</v>
      </c>
      <c r="T52" s="23">
        <f t="shared" si="97"/>
        <v>300.48</v>
      </c>
      <c r="U52" s="23">
        <f t="shared" si="119"/>
        <v>24</v>
      </c>
      <c r="V52" s="23">
        <f t="shared" si="99"/>
        <v>11.27</v>
      </c>
      <c r="W52" s="23">
        <f t="shared" si="120"/>
        <v>0.88</v>
      </c>
      <c r="X52" s="23">
        <f t="shared" si="101"/>
        <v>75.12</v>
      </c>
      <c r="Y52" s="23">
        <f t="shared" si="121"/>
        <v>6</v>
      </c>
      <c r="Z52" s="23">
        <v>0</v>
      </c>
      <c r="AA52" s="23">
        <f t="shared" si="13"/>
        <v>6.01</v>
      </c>
      <c r="AB52" s="23">
        <f t="shared" si="14"/>
        <v>0.48</v>
      </c>
      <c r="AC52" s="23">
        <f t="shared" si="15"/>
        <v>1426.09</v>
      </c>
      <c r="AD52" s="23">
        <f t="shared" si="16"/>
        <v>1682.25</v>
      </c>
      <c r="AE52" s="23">
        <f t="shared" si="17"/>
        <v>3108.34</v>
      </c>
      <c r="AF52" s="24"/>
    </row>
    <row r="53" s="1" customFormat="1" ht="40" customHeight="1" spans="1:32">
      <c r="A53" s="21">
        <v>50</v>
      </c>
      <c r="B53" s="25" t="s">
        <v>77</v>
      </c>
      <c r="C53" s="21">
        <v>2</v>
      </c>
      <c r="D53" s="21">
        <f t="shared" si="0"/>
        <v>4200</v>
      </c>
      <c r="E53" s="23">
        <f t="shared" si="88"/>
        <v>1201.92</v>
      </c>
      <c r="F53" s="23">
        <f t="shared" si="111"/>
        <v>96</v>
      </c>
      <c r="G53" s="23">
        <f t="shared" si="90"/>
        <v>52.58</v>
      </c>
      <c r="H53" s="23">
        <f t="shared" si="112"/>
        <v>4.24</v>
      </c>
      <c r="I53" s="23">
        <f t="shared" si="92"/>
        <v>600.96</v>
      </c>
      <c r="J53" s="23">
        <f t="shared" si="113"/>
        <v>48</v>
      </c>
      <c r="K53" s="23">
        <f t="shared" si="94"/>
        <v>12.02</v>
      </c>
      <c r="L53" s="23">
        <f t="shared" si="114"/>
        <v>0.96</v>
      </c>
      <c r="M53" s="23">
        <f t="shared" si="5"/>
        <v>2016.68</v>
      </c>
      <c r="N53" s="23">
        <f t="shared" ref="N53:S53" si="123">E53</f>
        <v>1201.92</v>
      </c>
      <c r="O53" s="23">
        <f t="shared" si="123"/>
        <v>96</v>
      </c>
      <c r="P53" s="23">
        <f t="shared" si="123"/>
        <v>52.58</v>
      </c>
      <c r="Q53" s="23">
        <f t="shared" si="123"/>
        <v>4.24</v>
      </c>
      <c r="R53" s="23">
        <f t="shared" si="123"/>
        <v>600.96</v>
      </c>
      <c r="S53" s="23">
        <f t="shared" si="123"/>
        <v>48</v>
      </c>
      <c r="T53" s="23">
        <f t="shared" si="97"/>
        <v>600.96</v>
      </c>
      <c r="U53" s="23">
        <f t="shared" si="119"/>
        <v>48</v>
      </c>
      <c r="V53" s="23">
        <f t="shared" si="99"/>
        <v>22.54</v>
      </c>
      <c r="W53" s="23">
        <f t="shared" si="120"/>
        <v>1.76</v>
      </c>
      <c r="X53" s="23">
        <f t="shared" si="101"/>
        <v>150.24</v>
      </c>
      <c r="Y53" s="23">
        <f t="shared" si="121"/>
        <v>12</v>
      </c>
      <c r="Z53" s="23">
        <v>0</v>
      </c>
      <c r="AA53" s="23">
        <f t="shared" si="13"/>
        <v>12.02</v>
      </c>
      <c r="AB53" s="23">
        <f t="shared" si="14"/>
        <v>0.96</v>
      </c>
      <c r="AC53" s="23">
        <f t="shared" si="15"/>
        <v>2852.18</v>
      </c>
      <c r="AD53" s="23">
        <f t="shared" si="16"/>
        <v>3364.5</v>
      </c>
      <c r="AE53" s="23">
        <f t="shared" si="17"/>
        <v>6216.68</v>
      </c>
      <c r="AF53" s="24"/>
    </row>
    <row r="54" s="1" customFormat="1" ht="40" customHeight="1" spans="1:32">
      <c r="A54" s="21">
        <v>51</v>
      </c>
      <c r="B54" s="25" t="s">
        <v>78</v>
      </c>
      <c r="C54" s="21">
        <v>2</v>
      </c>
      <c r="D54" s="21">
        <f t="shared" si="0"/>
        <v>4200</v>
      </c>
      <c r="E54" s="23">
        <f t="shared" si="88"/>
        <v>1201.92</v>
      </c>
      <c r="F54" s="23">
        <f>12*4*C54+12*2</f>
        <v>120</v>
      </c>
      <c r="G54" s="23">
        <f t="shared" si="90"/>
        <v>52.58</v>
      </c>
      <c r="H54" s="23">
        <f>0.53*4*C54+0.53*2</f>
        <v>5.3</v>
      </c>
      <c r="I54" s="23">
        <f t="shared" si="92"/>
        <v>600.96</v>
      </c>
      <c r="J54" s="23">
        <f>6*4*C54+6*2</f>
        <v>60</v>
      </c>
      <c r="K54" s="23">
        <f t="shared" si="94"/>
        <v>12.02</v>
      </c>
      <c r="L54" s="23">
        <f>0.12*4*C54+0.12*2</f>
        <v>1.2</v>
      </c>
      <c r="M54" s="23">
        <f t="shared" si="5"/>
        <v>2053.98</v>
      </c>
      <c r="N54" s="23">
        <f t="shared" ref="N54:S54" si="124">E54</f>
        <v>1201.92</v>
      </c>
      <c r="O54" s="23">
        <f t="shared" si="124"/>
        <v>120</v>
      </c>
      <c r="P54" s="23">
        <f t="shared" si="124"/>
        <v>52.58</v>
      </c>
      <c r="Q54" s="23">
        <f t="shared" si="124"/>
        <v>5.3</v>
      </c>
      <c r="R54" s="23">
        <f t="shared" si="124"/>
        <v>600.96</v>
      </c>
      <c r="S54" s="23">
        <f t="shared" si="124"/>
        <v>60</v>
      </c>
      <c r="T54" s="23">
        <f t="shared" si="97"/>
        <v>600.96</v>
      </c>
      <c r="U54" s="23">
        <f t="shared" si="119"/>
        <v>48</v>
      </c>
      <c r="V54" s="23">
        <f t="shared" si="99"/>
        <v>22.54</v>
      </c>
      <c r="W54" s="23">
        <f t="shared" si="120"/>
        <v>1.76</v>
      </c>
      <c r="X54" s="23">
        <f t="shared" si="101"/>
        <v>150.24</v>
      </c>
      <c r="Y54" s="23">
        <f t="shared" si="121"/>
        <v>12</v>
      </c>
      <c r="Z54" s="23">
        <v>0</v>
      </c>
      <c r="AA54" s="23">
        <f t="shared" si="13"/>
        <v>12.02</v>
      </c>
      <c r="AB54" s="23">
        <f t="shared" si="14"/>
        <v>1.2</v>
      </c>
      <c r="AC54" s="23">
        <f t="shared" si="15"/>
        <v>2889.48</v>
      </c>
      <c r="AD54" s="23">
        <f t="shared" si="16"/>
        <v>3364.5</v>
      </c>
      <c r="AE54" s="23">
        <f t="shared" si="17"/>
        <v>6253.98</v>
      </c>
      <c r="AF54" s="24"/>
    </row>
    <row r="55" s="1" customFormat="1" ht="40" customHeight="1" spans="1:32">
      <c r="A55" s="21">
        <v>52</v>
      </c>
      <c r="B55" s="25" t="s">
        <v>79</v>
      </c>
      <c r="C55" s="21">
        <v>2</v>
      </c>
      <c r="D55" s="21">
        <f t="shared" si="0"/>
        <v>4200</v>
      </c>
      <c r="E55" s="23">
        <f t="shared" si="88"/>
        <v>1201.92</v>
      </c>
      <c r="F55" s="23">
        <f t="shared" ref="F55:F61" si="125">12*4*C55</f>
        <v>96</v>
      </c>
      <c r="G55" s="23">
        <f t="shared" si="90"/>
        <v>52.58</v>
      </c>
      <c r="H55" s="23">
        <f t="shared" ref="H55:H61" si="126">0.53*4*C55</f>
        <v>4.24</v>
      </c>
      <c r="I55" s="23">
        <f t="shared" si="92"/>
        <v>600.96</v>
      </c>
      <c r="J55" s="23">
        <f t="shared" ref="J55:J61" si="127">6*4*C55</f>
        <v>48</v>
      </c>
      <c r="K55" s="23">
        <f t="shared" si="94"/>
        <v>12.02</v>
      </c>
      <c r="L55" s="23">
        <f t="shared" ref="L55:L59" si="128">0.12*4*C55</f>
        <v>0.96</v>
      </c>
      <c r="M55" s="23">
        <f t="shared" si="5"/>
        <v>2016.68</v>
      </c>
      <c r="N55" s="23">
        <f t="shared" ref="N55:S55" si="129">E55</f>
        <v>1201.92</v>
      </c>
      <c r="O55" s="23">
        <f t="shared" si="129"/>
        <v>96</v>
      </c>
      <c r="P55" s="23">
        <f t="shared" si="129"/>
        <v>52.58</v>
      </c>
      <c r="Q55" s="23">
        <f t="shared" si="129"/>
        <v>4.24</v>
      </c>
      <c r="R55" s="23">
        <f t="shared" si="129"/>
        <v>600.96</v>
      </c>
      <c r="S55" s="23">
        <f t="shared" si="129"/>
        <v>48</v>
      </c>
      <c r="T55" s="23">
        <f t="shared" si="97"/>
        <v>600.96</v>
      </c>
      <c r="U55" s="23">
        <f t="shared" si="119"/>
        <v>48</v>
      </c>
      <c r="V55" s="23">
        <f t="shared" si="99"/>
        <v>22.54</v>
      </c>
      <c r="W55" s="23">
        <f t="shared" si="120"/>
        <v>1.76</v>
      </c>
      <c r="X55" s="23">
        <f t="shared" si="101"/>
        <v>150.24</v>
      </c>
      <c r="Y55" s="23">
        <f t="shared" si="121"/>
        <v>12</v>
      </c>
      <c r="Z55" s="23">
        <v>0</v>
      </c>
      <c r="AA55" s="23">
        <f t="shared" si="13"/>
        <v>12.02</v>
      </c>
      <c r="AB55" s="23">
        <f t="shared" si="14"/>
        <v>0.96</v>
      </c>
      <c r="AC55" s="23">
        <f t="shared" si="15"/>
        <v>2852.18</v>
      </c>
      <c r="AD55" s="23">
        <f t="shared" si="16"/>
        <v>3364.5</v>
      </c>
      <c r="AE55" s="23">
        <f t="shared" si="17"/>
        <v>6216.68</v>
      </c>
      <c r="AF55" s="24"/>
    </row>
    <row r="56" s="1" customFormat="1" ht="40" customHeight="1" spans="1:32">
      <c r="A56" s="21">
        <v>53</v>
      </c>
      <c r="B56" s="25" t="s">
        <v>80</v>
      </c>
      <c r="C56" s="21">
        <v>3</v>
      </c>
      <c r="D56" s="21">
        <f t="shared" si="0"/>
        <v>6300</v>
      </c>
      <c r="E56" s="23">
        <f t="shared" si="88"/>
        <v>1802.88</v>
      </c>
      <c r="F56" s="23">
        <f t="shared" si="125"/>
        <v>144</v>
      </c>
      <c r="G56" s="23">
        <f t="shared" si="90"/>
        <v>78.87</v>
      </c>
      <c r="H56" s="23">
        <f t="shared" si="126"/>
        <v>6.36</v>
      </c>
      <c r="I56" s="23">
        <f t="shared" si="92"/>
        <v>901.44</v>
      </c>
      <c r="J56" s="23">
        <f t="shared" si="127"/>
        <v>72</v>
      </c>
      <c r="K56" s="23">
        <f t="shared" si="94"/>
        <v>18.03</v>
      </c>
      <c r="L56" s="23">
        <f t="shared" si="128"/>
        <v>1.44</v>
      </c>
      <c r="M56" s="23">
        <f t="shared" si="5"/>
        <v>3025.02</v>
      </c>
      <c r="N56" s="23">
        <f t="shared" ref="N56:S56" si="130">E56</f>
        <v>1802.88</v>
      </c>
      <c r="O56" s="23">
        <f t="shared" si="130"/>
        <v>144</v>
      </c>
      <c r="P56" s="23">
        <f t="shared" si="130"/>
        <v>78.87</v>
      </c>
      <c r="Q56" s="23">
        <f t="shared" si="130"/>
        <v>6.36</v>
      </c>
      <c r="R56" s="23">
        <f t="shared" si="130"/>
        <v>901.44</v>
      </c>
      <c r="S56" s="23">
        <f t="shared" si="130"/>
        <v>72</v>
      </c>
      <c r="T56" s="23">
        <f t="shared" si="97"/>
        <v>901.44</v>
      </c>
      <c r="U56" s="23">
        <f t="shared" si="119"/>
        <v>72</v>
      </c>
      <c r="V56" s="23">
        <f t="shared" si="99"/>
        <v>33.81</v>
      </c>
      <c r="W56" s="23">
        <f t="shared" si="120"/>
        <v>2.64</v>
      </c>
      <c r="X56" s="23">
        <f t="shared" si="101"/>
        <v>225.36</v>
      </c>
      <c r="Y56" s="23">
        <f t="shared" si="121"/>
        <v>18</v>
      </c>
      <c r="Z56" s="23">
        <v>0</v>
      </c>
      <c r="AA56" s="23">
        <f t="shared" si="13"/>
        <v>18.03</v>
      </c>
      <c r="AB56" s="23">
        <f t="shared" si="14"/>
        <v>1.44</v>
      </c>
      <c r="AC56" s="23">
        <f t="shared" si="15"/>
        <v>4278.27</v>
      </c>
      <c r="AD56" s="23">
        <f t="shared" si="16"/>
        <v>5046.75</v>
      </c>
      <c r="AE56" s="23">
        <f t="shared" si="17"/>
        <v>9325.02</v>
      </c>
      <c r="AF56" s="24"/>
    </row>
    <row r="57" s="1" customFormat="1" ht="40" customHeight="1" spans="1:32">
      <c r="A57" s="21">
        <v>54</v>
      </c>
      <c r="B57" s="25" t="s">
        <v>81</v>
      </c>
      <c r="C57" s="21">
        <v>1</v>
      </c>
      <c r="D57" s="21">
        <f t="shared" si="0"/>
        <v>2100</v>
      </c>
      <c r="E57" s="23">
        <f>612.96*C57</f>
        <v>612.96</v>
      </c>
      <c r="F57" s="23">
        <f>12</f>
        <v>12</v>
      </c>
      <c r="G57" s="23">
        <f>26.82*C57</f>
        <v>26.82</v>
      </c>
      <c r="H57" s="23">
        <f>0.53</f>
        <v>0.53</v>
      </c>
      <c r="I57" s="23">
        <f>306.48*C57</f>
        <v>306.48</v>
      </c>
      <c r="J57" s="23">
        <f>6</f>
        <v>6</v>
      </c>
      <c r="K57" s="23">
        <f>6.13*C57</f>
        <v>6.13</v>
      </c>
      <c r="L57" s="23">
        <v>0.12</v>
      </c>
      <c r="M57" s="23">
        <f t="shared" si="5"/>
        <v>971.04</v>
      </c>
      <c r="N57" s="23">
        <f t="shared" ref="N57:S57" si="131">E57</f>
        <v>612.96</v>
      </c>
      <c r="O57" s="23">
        <f t="shared" si="131"/>
        <v>12</v>
      </c>
      <c r="P57" s="23">
        <f t="shared" si="131"/>
        <v>26.82</v>
      </c>
      <c r="Q57" s="23">
        <f t="shared" si="131"/>
        <v>0.53</v>
      </c>
      <c r="R57" s="23">
        <f t="shared" si="131"/>
        <v>306.48</v>
      </c>
      <c r="S57" s="23">
        <f t="shared" si="131"/>
        <v>6</v>
      </c>
      <c r="T57" s="23">
        <f>306.48*C57</f>
        <v>306.48</v>
      </c>
      <c r="U57" s="23">
        <v>0</v>
      </c>
      <c r="V57" s="23">
        <f>11.49*C57</f>
        <v>11.49</v>
      </c>
      <c r="W57" s="23">
        <v>0</v>
      </c>
      <c r="X57" s="23">
        <f>76.62*C57</f>
        <v>76.62</v>
      </c>
      <c r="Y57" s="23">
        <v>0</v>
      </c>
      <c r="Z57" s="23">
        <v>0</v>
      </c>
      <c r="AA57" s="23">
        <f t="shared" si="13"/>
        <v>6.13</v>
      </c>
      <c r="AB57" s="23">
        <f t="shared" si="14"/>
        <v>0.12</v>
      </c>
      <c r="AC57" s="23">
        <f t="shared" si="15"/>
        <v>1365.63</v>
      </c>
      <c r="AD57" s="23">
        <f t="shared" si="16"/>
        <v>1705.41</v>
      </c>
      <c r="AE57" s="23">
        <f t="shared" si="17"/>
        <v>3071.04</v>
      </c>
      <c r="AF57" s="24"/>
    </row>
    <row r="58" s="1" customFormat="1" ht="40" customHeight="1" spans="1:32">
      <c r="A58" s="21">
        <v>55</v>
      </c>
      <c r="B58" s="30" t="s">
        <v>82</v>
      </c>
      <c r="C58" s="21">
        <v>1</v>
      </c>
      <c r="D58" s="21">
        <f t="shared" si="0"/>
        <v>2100</v>
      </c>
      <c r="E58" s="23">
        <f t="shared" ref="E58:E68" si="132">600.96*C58</f>
        <v>600.96</v>
      </c>
      <c r="F58" s="23">
        <f t="shared" si="125"/>
        <v>48</v>
      </c>
      <c r="G58" s="23">
        <f t="shared" ref="G58:G68" si="133">26.29*C58</f>
        <v>26.29</v>
      </c>
      <c r="H58" s="23">
        <f t="shared" si="126"/>
        <v>2.12</v>
      </c>
      <c r="I58" s="23">
        <f t="shared" ref="I58:I68" si="134">300.48*C58</f>
        <v>300.48</v>
      </c>
      <c r="J58" s="23">
        <f t="shared" si="127"/>
        <v>24</v>
      </c>
      <c r="K58" s="23">
        <f t="shared" ref="K58:K61" si="135">6.01*C58</f>
        <v>6.01</v>
      </c>
      <c r="L58" s="23">
        <f t="shared" si="128"/>
        <v>0.48</v>
      </c>
      <c r="M58" s="23">
        <f t="shared" si="5"/>
        <v>1008.34</v>
      </c>
      <c r="N58" s="23">
        <f t="shared" ref="N58:S58" si="136">E58</f>
        <v>600.96</v>
      </c>
      <c r="O58" s="23">
        <f t="shared" si="136"/>
        <v>48</v>
      </c>
      <c r="P58" s="23">
        <f t="shared" si="136"/>
        <v>26.29</v>
      </c>
      <c r="Q58" s="23">
        <f t="shared" si="136"/>
        <v>2.12</v>
      </c>
      <c r="R58" s="23">
        <f t="shared" si="136"/>
        <v>300.48</v>
      </c>
      <c r="S58" s="23">
        <f t="shared" si="136"/>
        <v>24</v>
      </c>
      <c r="T58" s="23">
        <f t="shared" ref="T58:T68" si="137">300.48*C58</f>
        <v>300.48</v>
      </c>
      <c r="U58" s="23">
        <f t="shared" ref="U58:U61" si="138">6*C58*4</f>
        <v>24</v>
      </c>
      <c r="V58" s="23">
        <f t="shared" ref="V58:V68" si="139">11.27*C58</f>
        <v>11.27</v>
      </c>
      <c r="W58" s="23">
        <f t="shared" ref="W58:W61" si="140">0.22*4*C58</f>
        <v>0.88</v>
      </c>
      <c r="X58" s="23">
        <f t="shared" ref="X58:X68" si="141">75.12*C58</f>
        <v>75.12</v>
      </c>
      <c r="Y58" s="23">
        <f t="shared" ref="Y58:Y61" si="142">1.5*4*C58</f>
        <v>6</v>
      </c>
      <c r="Z58" s="23">
        <v>0</v>
      </c>
      <c r="AA58" s="23">
        <f t="shared" si="13"/>
        <v>6.01</v>
      </c>
      <c r="AB58" s="23">
        <f t="shared" si="14"/>
        <v>0.48</v>
      </c>
      <c r="AC58" s="23">
        <f t="shared" si="15"/>
        <v>1426.09</v>
      </c>
      <c r="AD58" s="23">
        <f t="shared" si="16"/>
        <v>1682.25</v>
      </c>
      <c r="AE58" s="23">
        <f t="shared" si="17"/>
        <v>3108.34</v>
      </c>
      <c r="AF58" s="24"/>
    </row>
    <row r="59" s="1" customFormat="1" ht="40" customHeight="1" spans="1:32">
      <c r="A59" s="21">
        <v>56</v>
      </c>
      <c r="B59" s="25" t="s">
        <v>83</v>
      </c>
      <c r="C59" s="21">
        <v>2</v>
      </c>
      <c r="D59" s="21">
        <f t="shared" si="0"/>
        <v>4200</v>
      </c>
      <c r="E59" s="23">
        <f t="shared" si="132"/>
        <v>1201.92</v>
      </c>
      <c r="F59" s="23">
        <f t="shared" si="125"/>
        <v>96</v>
      </c>
      <c r="G59" s="23">
        <f t="shared" si="133"/>
        <v>52.58</v>
      </c>
      <c r="H59" s="23">
        <f t="shared" si="126"/>
        <v>4.24</v>
      </c>
      <c r="I59" s="23">
        <f t="shared" si="134"/>
        <v>600.96</v>
      </c>
      <c r="J59" s="23">
        <f t="shared" si="127"/>
        <v>48</v>
      </c>
      <c r="K59" s="23">
        <f t="shared" si="135"/>
        <v>12.02</v>
      </c>
      <c r="L59" s="23">
        <f t="shared" si="128"/>
        <v>0.96</v>
      </c>
      <c r="M59" s="23">
        <f t="shared" si="5"/>
        <v>2016.68</v>
      </c>
      <c r="N59" s="23">
        <f t="shared" ref="N59:S59" si="143">E59</f>
        <v>1201.92</v>
      </c>
      <c r="O59" s="23">
        <f t="shared" si="143"/>
        <v>96</v>
      </c>
      <c r="P59" s="23">
        <f t="shared" si="143"/>
        <v>52.58</v>
      </c>
      <c r="Q59" s="23">
        <f t="shared" si="143"/>
        <v>4.24</v>
      </c>
      <c r="R59" s="23">
        <f t="shared" si="143"/>
        <v>600.96</v>
      </c>
      <c r="S59" s="23">
        <f t="shared" si="143"/>
        <v>48</v>
      </c>
      <c r="T59" s="23">
        <f t="shared" si="137"/>
        <v>600.96</v>
      </c>
      <c r="U59" s="23">
        <f t="shared" si="138"/>
        <v>48</v>
      </c>
      <c r="V59" s="23">
        <f t="shared" si="139"/>
        <v>22.54</v>
      </c>
      <c r="W59" s="23">
        <f t="shared" si="140"/>
        <v>1.76</v>
      </c>
      <c r="X59" s="23">
        <f t="shared" si="141"/>
        <v>150.24</v>
      </c>
      <c r="Y59" s="23">
        <f t="shared" si="142"/>
        <v>12</v>
      </c>
      <c r="Z59" s="23">
        <v>0</v>
      </c>
      <c r="AA59" s="23">
        <f t="shared" si="13"/>
        <v>12.02</v>
      </c>
      <c r="AB59" s="23">
        <f t="shared" si="14"/>
        <v>0.96</v>
      </c>
      <c r="AC59" s="23">
        <f t="shared" si="15"/>
        <v>2852.18</v>
      </c>
      <c r="AD59" s="23">
        <f t="shared" si="16"/>
        <v>3364.5</v>
      </c>
      <c r="AE59" s="23">
        <f t="shared" si="17"/>
        <v>6216.68</v>
      </c>
      <c r="AF59" s="24"/>
    </row>
    <row r="60" s="1" customFormat="1" ht="40" customHeight="1" spans="1:32">
      <c r="A60" s="21">
        <v>57</v>
      </c>
      <c r="B60" s="25" t="s">
        <v>84</v>
      </c>
      <c r="C60" s="21">
        <v>1</v>
      </c>
      <c r="D60" s="21">
        <f t="shared" si="0"/>
        <v>2100</v>
      </c>
      <c r="E60" s="23">
        <f t="shared" si="132"/>
        <v>600.96</v>
      </c>
      <c r="F60" s="23">
        <f t="shared" si="125"/>
        <v>48</v>
      </c>
      <c r="G60" s="23">
        <f t="shared" si="133"/>
        <v>26.29</v>
      </c>
      <c r="H60" s="23">
        <f t="shared" si="126"/>
        <v>2.12</v>
      </c>
      <c r="I60" s="23">
        <f t="shared" si="134"/>
        <v>300.48</v>
      </c>
      <c r="J60" s="23">
        <f t="shared" si="127"/>
        <v>24</v>
      </c>
      <c r="K60" s="23">
        <f t="shared" ref="K60:K65" si="144">12.02*C60</f>
        <v>12.02</v>
      </c>
      <c r="L60" s="23">
        <f>0.24*4*C60</f>
        <v>0.96</v>
      </c>
      <c r="M60" s="23">
        <f t="shared" si="5"/>
        <v>1014.83</v>
      </c>
      <c r="N60" s="23">
        <f t="shared" ref="N60:S60" si="145">E60</f>
        <v>600.96</v>
      </c>
      <c r="O60" s="23">
        <f t="shared" si="145"/>
        <v>48</v>
      </c>
      <c r="P60" s="23">
        <f t="shared" si="145"/>
        <v>26.29</v>
      </c>
      <c r="Q60" s="23">
        <f t="shared" si="145"/>
        <v>2.12</v>
      </c>
      <c r="R60" s="23">
        <f t="shared" si="145"/>
        <v>300.48</v>
      </c>
      <c r="S60" s="23">
        <f t="shared" si="145"/>
        <v>24</v>
      </c>
      <c r="T60" s="23">
        <f t="shared" si="137"/>
        <v>300.48</v>
      </c>
      <c r="U60" s="23">
        <f t="shared" si="138"/>
        <v>24</v>
      </c>
      <c r="V60" s="23">
        <f t="shared" si="139"/>
        <v>11.27</v>
      </c>
      <c r="W60" s="23">
        <f t="shared" si="140"/>
        <v>0.88</v>
      </c>
      <c r="X60" s="23">
        <f t="shared" si="141"/>
        <v>75.12</v>
      </c>
      <c r="Y60" s="23">
        <f t="shared" si="142"/>
        <v>6</v>
      </c>
      <c r="Z60" s="23">
        <v>0</v>
      </c>
      <c r="AA60" s="23">
        <f t="shared" si="13"/>
        <v>12.02</v>
      </c>
      <c r="AB60" s="23">
        <f t="shared" si="14"/>
        <v>0.96</v>
      </c>
      <c r="AC60" s="23">
        <f t="shared" si="15"/>
        <v>1432.58</v>
      </c>
      <c r="AD60" s="23">
        <f t="shared" si="16"/>
        <v>1682.25</v>
      </c>
      <c r="AE60" s="23">
        <f t="shared" si="17"/>
        <v>3114.83</v>
      </c>
      <c r="AF60" s="24"/>
    </row>
    <row r="61" s="1" customFormat="1" ht="40" customHeight="1" spans="1:32">
      <c r="A61" s="21">
        <v>58</v>
      </c>
      <c r="B61" s="25" t="s">
        <v>85</v>
      </c>
      <c r="C61" s="21">
        <v>1</v>
      </c>
      <c r="D61" s="21">
        <f t="shared" si="0"/>
        <v>2100</v>
      </c>
      <c r="E61" s="23">
        <f t="shared" si="132"/>
        <v>600.96</v>
      </c>
      <c r="F61" s="23">
        <f t="shared" si="125"/>
        <v>48</v>
      </c>
      <c r="G61" s="23">
        <f t="shared" si="133"/>
        <v>26.29</v>
      </c>
      <c r="H61" s="23">
        <f t="shared" si="126"/>
        <v>2.12</v>
      </c>
      <c r="I61" s="23">
        <f t="shared" si="134"/>
        <v>300.48</v>
      </c>
      <c r="J61" s="23">
        <f t="shared" si="127"/>
        <v>24</v>
      </c>
      <c r="K61" s="23">
        <f t="shared" si="135"/>
        <v>6.01</v>
      </c>
      <c r="L61" s="23">
        <f t="shared" ref="L61:L64" si="146">0.12*4*C61</f>
        <v>0.48</v>
      </c>
      <c r="M61" s="23">
        <f t="shared" si="5"/>
        <v>1008.34</v>
      </c>
      <c r="N61" s="23">
        <f t="shared" ref="N61:S61" si="147">E61</f>
        <v>600.96</v>
      </c>
      <c r="O61" s="23">
        <f t="shared" si="147"/>
        <v>48</v>
      </c>
      <c r="P61" s="23">
        <f t="shared" si="147"/>
        <v>26.29</v>
      </c>
      <c r="Q61" s="23">
        <f t="shared" si="147"/>
        <v>2.12</v>
      </c>
      <c r="R61" s="23">
        <f t="shared" si="147"/>
        <v>300.48</v>
      </c>
      <c r="S61" s="23">
        <f t="shared" si="147"/>
        <v>24</v>
      </c>
      <c r="T61" s="23">
        <f t="shared" si="137"/>
        <v>300.48</v>
      </c>
      <c r="U61" s="23">
        <f t="shared" si="138"/>
        <v>24</v>
      </c>
      <c r="V61" s="23">
        <f t="shared" si="139"/>
        <v>11.27</v>
      </c>
      <c r="W61" s="23">
        <f t="shared" si="140"/>
        <v>0.88</v>
      </c>
      <c r="X61" s="23">
        <f t="shared" si="141"/>
        <v>75.12</v>
      </c>
      <c r="Y61" s="23">
        <f t="shared" si="142"/>
        <v>6</v>
      </c>
      <c r="Z61" s="23">
        <v>0</v>
      </c>
      <c r="AA61" s="23">
        <f t="shared" si="13"/>
        <v>6.01</v>
      </c>
      <c r="AB61" s="23">
        <f t="shared" si="14"/>
        <v>0.48</v>
      </c>
      <c r="AC61" s="23">
        <f t="shared" si="15"/>
        <v>1426.09</v>
      </c>
      <c r="AD61" s="23">
        <f t="shared" si="16"/>
        <v>1682.25</v>
      </c>
      <c r="AE61" s="23">
        <f t="shared" si="17"/>
        <v>3108.34</v>
      </c>
      <c r="AF61" s="24"/>
    </row>
    <row r="62" s="1" customFormat="1" ht="40" customHeight="1" spans="1:32">
      <c r="A62" s="21">
        <v>59</v>
      </c>
      <c r="B62" s="25" t="s">
        <v>86</v>
      </c>
      <c r="C62" s="21">
        <v>2</v>
      </c>
      <c r="D62" s="21">
        <f t="shared" si="0"/>
        <v>4200</v>
      </c>
      <c r="E62" s="23">
        <f t="shared" si="132"/>
        <v>1201.92</v>
      </c>
      <c r="F62" s="23">
        <f>12*4*1+12</f>
        <v>60</v>
      </c>
      <c r="G62" s="23">
        <f t="shared" si="133"/>
        <v>52.58</v>
      </c>
      <c r="H62" s="23">
        <f>0.53*4*1+0.53</f>
        <v>2.65</v>
      </c>
      <c r="I62" s="23">
        <f t="shared" si="134"/>
        <v>600.96</v>
      </c>
      <c r="J62" s="23">
        <f>6*4*1+6</f>
        <v>30</v>
      </c>
      <c r="K62" s="23">
        <f t="shared" si="144"/>
        <v>24.04</v>
      </c>
      <c r="L62" s="23">
        <f>0.24*4*1+0.24</f>
        <v>1.2</v>
      </c>
      <c r="M62" s="23">
        <f t="shared" si="5"/>
        <v>1973.35</v>
      </c>
      <c r="N62" s="23">
        <f t="shared" ref="N62:S62" si="148">E62</f>
        <v>1201.92</v>
      </c>
      <c r="O62" s="23">
        <f t="shared" si="148"/>
        <v>60</v>
      </c>
      <c r="P62" s="23">
        <f t="shared" si="148"/>
        <v>52.58</v>
      </c>
      <c r="Q62" s="23">
        <f t="shared" si="148"/>
        <v>2.65</v>
      </c>
      <c r="R62" s="23">
        <f t="shared" si="148"/>
        <v>600.96</v>
      </c>
      <c r="S62" s="23">
        <f t="shared" si="148"/>
        <v>30</v>
      </c>
      <c r="T62" s="23">
        <f t="shared" si="137"/>
        <v>600.96</v>
      </c>
      <c r="U62" s="23">
        <f>6*1*4+6</f>
        <v>30</v>
      </c>
      <c r="V62" s="23">
        <f t="shared" si="139"/>
        <v>22.54</v>
      </c>
      <c r="W62" s="23">
        <f>0.22*4*1+0.22</f>
        <v>1.1</v>
      </c>
      <c r="X62" s="23">
        <f t="shared" si="141"/>
        <v>150.24</v>
      </c>
      <c r="Y62" s="23">
        <f>1.5*4*1+1.5</f>
        <v>7.5</v>
      </c>
      <c r="Z62" s="23">
        <v>0</v>
      </c>
      <c r="AA62" s="23">
        <f t="shared" si="13"/>
        <v>24.04</v>
      </c>
      <c r="AB62" s="23">
        <f t="shared" si="14"/>
        <v>1.2</v>
      </c>
      <c r="AC62" s="23">
        <f t="shared" si="15"/>
        <v>2785.69</v>
      </c>
      <c r="AD62" s="23">
        <f t="shared" si="16"/>
        <v>3387.66</v>
      </c>
      <c r="AE62" s="23">
        <f t="shared" si="17"/>
        <v>6173.35</v>
      </c>
      <c r="AF62" s="24"/>
    </row>
    <row r="63" s="1" customFormat="1" ht="40" customHeight="1" spans="1:32">
      <c r="A63" s="21">
        <v>60</v>
      </c>
      <c r="B63" s="25" t="s">
        <v>87</v>
      </c>
      <c r="C63" s="21">
        <v>2</v>
      </c>
      <c r="D63" s="21">
        <f t="shared" si="0"/>
        <v>4200</v>
      </c>
      <c r="E63" s="23">
        <f t="shared" si="132"/>
        <v>1201.92</v>
      </c>
      <c r="F63" s="23">
        <f t="shared" ref="F63:F68" si="149">12*4*C63</f>
        <v>96</v>
      </c>
      <c r="G63" s="23">
        <f t="shared" si="133"/>
        <v>52.58</v>
      </c>
      <c r="H63" s="23">
        <f t="shared" ref="H63:H68" si="150">0.53*4*C63</f>
        <v>4.24</v>
      </c>
      <c r="I63" s="23">
        <f t="shared" si="134"/>
        <v>600.96</v>
      </c>
      <c r="J63" s="23">
        <f t="shared" ref="J63:J68" si="151">6*4*C63</f>
        <v>48</v>
      </c>
      <c r="K63" s="23">
        <f t="shared" ref="K63:K68" si="152">6.01*C63</f>
        <v>12.02</v>
      </c>
      <c r="L63" s="23">
        <f t="shared" si="146"/>
        <v>0.96</v>
      </c>
      <c r="M63" s="23">
        <f t="shared" si="5"/>
        <v>2016.68</v>
      </c>
      <c r="N63" s="23">
        <f t="shared" ref="N63:S63" si="153">E63</f>
        <v>1201.92</v>
      </c>
      <c r="O63" s="23">
        <f t="shared" si="153"/>
        <v>96</v>
      </c>
      <c r="P63" s="23">
        <f t="shared" si="153"/>
        <v>52.58</v>
      </c>
      <c r="Q63" s="23">
        <f t="shared" si="153"/>
        <v>4.24</v>
      </c>
      <c r="R63" s="23">
        <f t="shared" si="153"/>
        <v>600.96</v>
      </c>
      <c r="S63" s="23">
        <f t="shared" si="153"/>
        <v>48</v>
      </c>
      <c r="T63" s="23">
        <f t="shared" si="137"/>
        <v>600.96</v>
      </c>
      <c r="U63" s="23">
        <f t="shared" ref="U63:U68" si="154">6*C63*4</f>
        <v>48</v>
      </c>
      <c r="V63" s="23">
        <f t="shared" si="139"/>
        <v>22.54</v>
      </c>
      <c r="W63" s="23">
        <f t="shared" ref="W63:W68" si="155">0.22*4*C63</f>
        <v>1.76</v>
      </c>
      <c r="X63" s="23">
        <f t="shared" si="141"/>
        <v>150.24</v>
      </c>
      <c r="Y63" s="23">
        <f t="shared" ref="Y63:Y68" si="156">1.5*4*C63</f>
        <v>12</v>
      </c>
      <c r="Z63" s="23">
        <v>0</v>
      </c>
      <c r="AA63" s="23">
        <f t="shared" si="13"/>
        <v>12.02</v>
      </c>
      <c r="AB63" s="23">
        <f t="shared" si="14"/>
        <v>0.96</v>
      </c>
      <c r="AC63" s="23">
        <f t="shared" si="15"/>
        <v>2852.18</v>
      </c>
      <c r="AD63" s="23">
        <f t="shared" si="16"/>
        <v>3364.5</v>
      </c>
      <c r="AE63" s="23">
        <f t="shared" si="17"/>
        <v>6216.68</v>
      </c>
      <c r="AF63" s="24"/>
    </row>
    <row r="64" s="1" customFormat="1" ht="40" customHeight="1" spans="1:32">
      <c r="A64" s="21">
        <v>61</v>
      </c>
      <c r="B64" s="25" t="s">
        <v>88</v>
      </c>
      <c r="C64" s="21">
        <v>2</v>
      </c>
      <c r="D64" s="21">
        <f t="shared" si="0"/>
        <v>4200</v>
      </c>
      <c r="E64" s="23">
        <f t="shared" si="132"/>
        <v>1201.92</v>
      </c>
      <c r="F64" s="23">
        <f t="shared" si="149"/>
        <v>96</v>
      </c>
      <c r="G64" s="23">
        <f t="shared" si="133"/>
        <v>52.58</v>
      </c>
      <c r="H64" s="23">
        <f t="shared" si="150"/>
        <v>4.24</v>
      </c>
      <c r="I64" s="23">
        <f t="shared" si="134"/>
        <v>600.96</v>
      </c>
      <c r="J64" s="23">
        <f t="shared" si="151"/>
        <v>48</v>
      </c>
      <c r="K64" s="23">
        <f t="shared" si="152"/>
        <v>12.02</v>
      </c>
      <c r="L64" s="23">
        <f t="shared" si="146"/>
        <v>0.96</v>
      </c>
      <c r="M64" s="23">
        <f t="shared" si="5"/>
        <v>2016.68</v>
      </c>
      <c r="N64" s="23">
        <f t="shared" ref="N64:S64" si="157">E64</f>
        <v>1201.92</v>
      </c>
      <c r="O64" s="23">
        <f t="shared" si="157"/>
        <v>96</v>
      </c>
      <c r="P64" s="23">
        <f t="shared" si="157"/>
        <v>52.58</v>
      </c>
      <c r="Q64" s="23">
        <f t="shared" si="157"/>
        <v>4.24</v>
      </c>
      <c r="R64" s="23">
        <f t="shared" si="157"/>
        <v>600.96</v>
      </c>
      <c r="S64" s="23">
        <f t="shared" si="157"/>
        <v>48</v>
      </c>
      <c r="T64" s="23">
        <f t="shared" si="137"/>
        <v>600.96</v>
      </c>
      <c r="U64" s="23">
        <f t="shared" si="154"/>
        <v>48</v>
      </c>
      <c r="V64" s="23">
        <f t="shared" si="139"/>
        <v>22.54</v>
      </c>
      <c r="W64" s="23">
        <f t="shared" si="155"/>
        <v>1.76</v>
      </c>
      <c r="X64" s="23">
        <f t="shared" si="141"/>
        <v>150.24</v>
      </c>
      <c r="Y64" s="23">
        <f t="shared" si="156"/>
        <v>12</v>
      </c>
      <c r="Z64" s="23">
        <v>0</v>
      </c>
      <c r="AA64" s="23">
        <f t="shared" si="13"/>
        <v>12.02</v>
      </c>
      <c r="AB64" s="23">
        <f t="shared" si="14"/>
        <v>0.96</v>
      </c>
      <c r="AC64" s="23">
        <f t="shared" si="15"/>
        <v>2852.18</v>
      </c>
      <c r="AD64" s="23">
        <f t="shared" si="16"/>
        <v>3364.5</v>
      </c>
      <c r="AE64" s="23">
        <f t="shared" si="17"/>
        <v>6216.68</v>
      </c>
      <c r="AF64" s="24"/>
    </row>
    <row r="65" s="1" customFormat="1" ht="40" customHeight="1" spans="1:32">
      <c r="A65" s="21">
        <v>62</v>
      </c>
      <c r="B65" s="25" t="s">
        <v>89</v>
      </c>
      <c r="C65" s="21">
        <v>2</v>
      </c>
      <c r="D65" s="21">
        <f t="shared" si="0"/>
        <v>4200</v>
      </c>
      <c r="E65" s="23">
        <f t="shared" si="132"/>
        <v>1201.92</v>
      </c>
      <c r="F65" s="23">
        <f>12*4*1+12</f>
        <v>60</v>
      </c>
      <c r="G65" s="23">
        <f t="shared" si="133"/>
        <v>52.58</v>
      </c>
      <c r="H65" s="23">
        <f>0.53*4*1+0.53</f>
        <v>2.65</v>
      </c>
      <c r="I65" s="23">
        <f t="shared" si="134"/>
        <v>600.96</v>
      </c>
      <c r="J65" s="23">
        <f>6*4*1+6</f>
        <v>30</v>
      </c>
      <c r="K65" s="23">
        <f t="shared" si="144"/>
        <v>24.04</v>
      </c>
      <c r="L65" s="23">
        <f>0.24*4*1+0.24</f>
        <v>1.2</v>
      </c>
      <c r="M65" s="23">
        <f t="shared" si="5"/>
        <v>1973.35</v>
      </c>
      <c r="N65" s="23">
        <f t="shared" ref="N65:S65" si="158">E65</f>
        <v>1201.92</v>
      </c>
      <c r="O65" s="23">
        <f t="shared" si="158"/>
        <v>60</v>
      </c>
      <c r="P65" s="23">
        <f t="shared" si="158"/>
        <v>52.58</v>
      </c>
      <c r="Q65" s="23">
        <f t="shared" si="158"/>
        <v>2.65</v>
      </c>
      <c r="R65" s="23">
        <f t="shared" si="158"/>
        <v>600.96</v>
      </c>
      <c r="S65" s="23">
        <f t="shared" si="158"/>
        <v>30</v>
      </c>
      <c r="T65" s="23">
        <f t="shared" si="137"/>
        <v>600.96</v>
      </c>
      <c r="U65" s="23">
        <f>6*1*4+6</f>
        <v>30</v>
      </c>
      <c r="V65" s="23">
        <f t="shared" si="139"/>
        <v>22.54</v>
      </c>
      <c r="W65" s="23">
        <f>0.22*4*1+0.22</f>
        <v>1.1</v>
      </c>
      <c r="X65" s="23">
        <f t="shared" si="141"/>
        <v>150.24</v>
      </c>
      <c r="Y65" s="23">
        <f>1.5*4*1+1.5</f>
        <v>7.5</v>
      </c>
      <c r="Z65" s="23">
        <v>0</v>
      </c>
      <c r="AA65" s="23">
        <f t="shared" si="13"/>
        <v>24.04</v>
      </c>
      <c r="AB65" s="23">
        <f t="shared" si="14"/>
        <v>1.2</v>
      </c>
      <c r="AC65" s="23">
        <f t="shared" si="15"/>
        <v>2785.69</v>
      </c>
      <c r="AD65" s="23">
        <f t="shared" si="16"/>
        <v>3387.66</v>
      </c>
      <c r="AE65" s="23">
        <f t="shared" si="17"/>
        <v>6173.35</v>
      </c>
      <c r="AF65" s="24"/>
    </row>
    <row r="66" s="1" customFormat="1" ht="40" customHeight="1" spans="1:32">
      <c r="A66" s="21">
        <v>63</v>
      </c>
      <c r="B66" s="25" t="s">
        <v>90</v>
      </c>
      <c r="C66" s="21">
        <v>3</v>
      </c>
      <c r="D66" s="21">
        <f t="shared" si="0"/>
        <v>6300</v>
      </c>
      <c r="E66" s="23">
        <f t="shared" si="132"/>
        <v>1802.88</v>
      </c>
      <c r="F66" s="23">
        <f t="shared" si="149"/>
        <v>144</v>
      </c>
      <c r="G66" s="23">
        <f t="shared" si="133"/>
        <v>78.87</v>
      </c>
      <c r="H66" s="23">
        <f t="shared" si="150"/>
        <v>6.36</v>
      </c>
      <c r="I66" s="23">
        <f t="shared" si="134"/>
        <v>901.44</v>
      </c>
      <c r="J66" s="23">
        <f t="shared" si="151"/>
        <v>72</v>
      </c>
      <c r="K66" s="23">
        <f t="shared" si="152"/>
        <v>18.03</v>
      </c>
      <c r="L66" s="23">
        <f t="shared" ref="L66:L68" si="159">0.12*4*C66</f>
        <v>1.44</v>
      </c>
      <c r="M66" s="23">
        <f t="shared" si="5"/>
        <v>3025.02</v>
      </c>
      <c r="N66" s="23">
        <f t="shared" ref="N66:S66" si="160">E66</f>
        <v>1802.88</v>
      </c>
      <c r="O66" s="23">
        <f t="shared" si="160"/>
        <v>144</v>
      </c>
      <c r="P66" s="23">
        <f t="shared" si="160"/>
        <v>78.87</v>
      </c>
      <c r="Q66" s="23">
        <f t="shared" si="160"/>
        <v>6.36</v>
      </c>
      <c r="R66" s="23">
        <f t="shared" si="160"/>
        <v>901.44</v>
      </c>
      <c r="S66" s="23">
        <f t="shared" si="160"/>
        <v>72</v>
      </c>
      <c r="T66" s="23">
        <f t="shared" si="137"/>
        <v>901.44</v>
      </c>
      <c r="U66" s="23">
        <f t="shared" si="154"/>
        <v>72</v>
      </c>
      <c r="V66" s="23">
        <f t="shared" si="139"/>
        <v>33.81</v>
      </c>
      <c r="W66" s="23">
        <f t="shared" si="155"/>
        <v>2.64</v>
      </c>
      <c r="X66" s="23">
        <f t="shared" si="141"/>
        <v>225.36</v>
      </c>
      <c r="Y66" s="23">
        <f t="shared" si="156"/>
        <v>18</v>
      </c>
      <c r="Z66" s="23">
        <v>0</v>
      </c>
      <c r="AA66" s="23">
        <f t="shared" si="13"/>
        <v>18.03</v>
      </c>
      <c r="AB66" s="23">
        <f t="shared" si="14"/>
        <v>1.44</v>
      </c>
      <c r="AC66" s="23">
        <f t="shared" si="15"/>
        <v>4278.27</v>
      </c>
      <c r="AD66" s="23">
        <f t="shared" si="16"/>
        <v>5046.75</v>
      </c>
      <c r="AE66" s="23">
        <f t="shared" si="17"/>
        <v>9325.02</v>
      </c>
      <c r="AF66" s="24"/>
    </row>
    <row r="67" s="1" customFormat="1" ht="40" customHeight="1" spans="1:32">
      <c r="A67" s="21">
        <v>64</v>
      </c>
      <c r="B67" s="25" t="s">
        <v>91</v>
      </c>
      <c r="C67" s="21">
        <v>1</v>
      </c>
      <c r="D67" s="21">
        <f t="shared" si="0"/>
        <v>2100</v>
      </c>
      <c r="E67" s="23">
        <f t="shared" si="132"/>
        <v>600.96</v>
      </c>
      <c r="F67" s="23">
        <f t="shared" si="149"/>
        <v>48</v>
      </c>
      <c r="G67" s="23">
        <f t="shared" si="133"/>
        <v>26.29</v>
      </c>
      <c r="H67" s="23">
        <f t="shared" si="150"/>
        <v>2.12</v>
      </c>
      <c r="I67" s="23">
        <f t="shared" si="134"/>
        <v>300.48</v>
      </c>
      <c r="J67" s="23">
        <f t="shared" si="151"/>
        <v>24</v>
      </c>
      <c r="K67" s="23">
        <f t="shared" si="152"/>
        <v>6.01</v>
      </c>
      <c r="L67" s="23">
        <f t="shared" si="159"/>
        <v>0.48</v>
      </c>
      <c r="M67" s="23">
        <f t="shared" si="5"/>
        <v>1008.34</v>
      </c>
      <c r="N67" s="23">
        <f t="shared" ref="N67:S67" si="161">E67</f>
        <v>600.96</v>
      </c>
      <c r="O67" s="23">
        <f t="shared" si="161"/>
        <v>48</v>
      </c>
      <c r="P67" s="23">
        <f t="shared" si="161"/>
        <v>26.29</v>
      </c>
      <c r="Q67" s="23">
        <f t="shared" si="161"/>
        <v>2.12</v>
      </c>
      <c r="R67" s="23">
        <f t="shared" si="161"/>
        <v>300.48</v>
      </c>
      <c r="S67" s="23">
        <f t="shared" si="161"/>
        <v>24</v>
      </c>
      <c r="T67" s="23">
        <f t="shared" si="137"/>
        <v>300.48</v>
      </c>
      <c r="U67" s="23">
        <f t="shared" si="154"/>
        <v>24</v>
      </c>
      <c r="V67" s="23">
        <f t="shared" si="139"/>
        <v>11.27</v>
      </c>
      <c r="W67" s="23">
        <f t="shared" si="155"/>
        <v>0.88</v>
      </c>
      <c r="X67" s="23">
        <f t="shared" si="141"/>
        <v>75.12</v>
      </c>
      <c r="Y67" s="23">
        <f t="shared" si="156"/>
        <v>6</v>
      </c>
      <c r="Z67" s="23">
        <v>0</v>
      </c>
      <c r="AA67" s="23">
        <f t="shared" si="13"/>
        <v>6.01</v>
      </c>
      <c r="AB67" s="23">
        <f t="shared" si="14"/>
        <v>0.48</v>
      </c>
      <c r="AC67" s="23">
        <f t="shared" si="15"/>
        <v>1426.09</v>
      </c>
      <c r="AD67" s="23">
        <f t="shared" si="16"/>
        <v>1682.25</v>
      </c>
      <c r="AE67" s="23">
        <f t="shared" si="17"/>
        <v>3108.34</v>
      </c>
      <c r="AF67" s="24"/>
    </row>
    <row r="68" s="1" customFormat="1" ht="40" customHeight="1" spans="1:32">
      <c r="A68" s="21">
        <v>65</v>
      </c>
      <c r="B68" s="25" t="s">
        <v>92</v>
      </c>
      <c r="C68" s="21">
        <v>3</v>
      </c>
      <c r="D68" s="21">
        <f t="shared" ref="D68:D81" si="162">2100*C68</f>
        <v>6300</v>
      </c>
      <c r="E68" s="23">
        <f t="shared" si="132"/>
        <v>1802.88</v>
      </c>
      <c r="F68" s="23">
        <f t="shared" si="149"/>
        <v>144</v>
      </c>
      <c r="G68" s="23">
        <f t="shared" si="133"/>
        <v>78.87</v>
      </c>
      <c r="H68" s="23">
        <f t="shared" si="150"/>
        <v>6.36</v>
      </c>
      <c r="I68" s="23">
        <f t="shared" si="134"/>
        <v>901.44</v>
      </c>
      <c r="J68" s="23">
        <f t="shared" si="151"/>
        <v>72</v>
      </c>
      <c r="K68" s="23">
        <f t="shared" si="152"/>
        <v>18.03</v>
      </c>
      <c r="L68" s="23">
        <f t="shared" si="159"/>
        <v>1.44</v>
      </c>
      <c r="M68" s="23">
        <f t="shared" ref="M68:M81" si="163">SUM(E68:L68)</f>
        <v>3025.02</v>
      </c>
      <c r="N68" s="23">
        <f t="shared" ref="N68:S68" si="164">E68</f>
        <v>1802.88</v>
      </c>
      <c r="O68" s="23">
        <f t="shared" si="164"/>
        <v>144</v>
      </c>
      <c r="P68" s="23">
        <f t="shared" si="164"/>
        <v>78.87</v>
      </c>
      <c r="Q68" s="23">
        <f t="shared" si="164"/>
        <v>6.36</v>
      </c>
      <c r="R68" s="23">
        <f t="shared" si="164"/>
        <v>901.44</v>
      </c>
      <c r="S68" s="23">
        <f t="shared" si="164"/>
        <v>72</v>
      </c>
      <c r="T68" s="23">
        <f t="shared" si="137"/>
        <v>901.44</v>
      </c>
      <c r="U68" s="23">
        <f t="shared" si="154"/>
        <v>72</v>
      </c>
      <c r="V68" s="23">
        <f t="shared" si="139"/>
        <v>33.81</v>
      </c>
      <c r="W68" s="23">
        <f t="shared" si="155"/>
        <v>2.64</v>
      </c>
      <c r="X68" s="23">
        <f t="shared" si="141"/>
        <v>225.36</v>
      </c>
      <c r="Y68" s="23">
        <f t="shared" si="156"/>
        <v>18</v>
      </c>
      <c r="Z68" s="23">
        <v>0</v>
      </c>
      <c r="AA68" s="23">
        <f t="shared" ref="AA68:AA81" si="165">K68</f>
        <v>18.03</v>
      </c>
      <c r="AB68" s="23">
        <f t="shared" ref="AB68:AB81" si="166">L68</f>
        <v>1.44</v>
      </c>
      <c r="AC68" s="23">
        <f t="shared" ref="AC68:AC81" si="167">SUM(N68:AB68)</f>
        <v>4278.27</v>
      </c>
      <c r="AD68" s="23">
        <f t="shared" ref="AD68:AD81" si="168">D68-T68-V68-X68-Z68-U68-W68-Y68</f>
        <v>5046.75</v>
      </c>
      <c r="AE68" s="23">
        <f t="shared" ref="AE68:AE81" si="169">D68+M68</f>
        <v>9325.02</v>
      </c>
      <c r="AF68" s="24"/>
    </row>
    <row r="69" s="1" customFormat="1" ht="40" customHeight="1" spans="1:32">
      <c r="A69" s="21">
        <v>66</v>
      </c>
      <c r="B69" s="25" t="s">
        <v>93</v>
      </c>
      <c r="C69" s="21">
        <v>1</v>
      </c>
      <c r="D69" s="21">
        <f t="shared" si="162"/>
        <v>2100</v>
      </c>
      <c r="E69" s="23">
        <f>612.96*C69</f>
        <v>612.96</v>
      </c>
      <c r="F69" s="23">
        <v>0</v>
      </c>
      <c r="G69" s="23">
        <f>26.82*C69</f>
        <v>26.82</v>
      </c>
      <c r="H69" s="23">
        <v>0</v>
      </c>
      <c r="I69" s="23">
        <f>306.48*C69</f>
        <v>306.48</v>
      </c>
      <c r="J69" s="23">
        <v>0</v>
      </c>
      <c r="K69" s="23">
        <f>6.13*C69</f>
        <v>6.13</v>
      </c>
      <c r="L69" s="23">
        <v>0</v>
      </c>
      <c r="M69" s="23">
        <f t="shared" si="163"/>
        <v>952.39</v>
      </c>
      <c r="N69" s="23">
        <f t="shared" ref="N69:S69" si="170">E69</f>
        <v>612.96</v>
      </c>
      <c r="O69" s="23">
        <f t="shared" si="170"/>
        <v>0</v>
      </c>
      <c r="P69" s="23">
        <f t="shared" si="170"/>
        <v>26.82</v>
      </c>
      <c r="Q69" s="23">
        <f t="shared" si="170"/>
        <v>0</v>
      </c>
      <c r="R69" s="23">
        <f t="shared" si="170"/>
        <v>306.48</v>
      </c>
      <c r="S69" s="23">
        <f t="shared" si="170"/>
        <v>0</v>
      </c>
      <c r="T69" s="23">
        <f>306.48*C69</f>
        <v>306.48</v>
      </c>
      <c r="U69" s="23">
        <v>0</v>
      </c>
      <c r="V69" s="23">
        <f>11.49*C69</f>
        <v>11.49</v>
      </c>
      <c r="W69" s="23">
        <v>0</v>
      </c>
      <c r="X69" s="23">
        <f>76.62*C69</f>
        <v>76.62</v>
      </c>
      <c r="Y69" s="23">
        <v>0</v>
      </c>
      <c r="Z69" s="23">
        <v>0</v>
      </c>
      <c r="AA69" s="23">
        <f t="shared" si="165"/>
        <v>6.13</v>
      </c>
      <c r="AB69" s="23">
        <f t="shared" si="166"/>
        <v>0</v>
      </c>
      <c r="AC69" s="23">
        <f t="shared" si="167"/>
        <v>1346.98</v>
      </c>
      <c r="AD69" s="23">
        <f t="shared" si="168"/>
        <v>1705.41</v>
      </c>
      <c r="AE69" s="23">
        <f t="shared" si="169"/>
        <v>3052.39</v>
      </c>
      <c r="AF69" s="24"/>
    </row>
    <row r="70" s="1" customFormat="1" ht="40" customHeight="1" spans="1:32">
      <c r="A70" s="21">
        <v>67</v>
      </c>
      <c r="B70" s="25" t="s">
        <v>94</v>
      </c>
      <c r="C70" s="21">
        <v>2</v>
      </c>
      <c r="D70" s="21">
        <f t="shared" si="162"/>
        <v>4200</v>
      </c>
      <c r="E70" s="23">
        <f t="shared" ref="E70:E80" si="171">600.96*C70</f>
        <v>1201.92</v>
      </c>
      <c r="F70" s="23">
        <f t="shared" ref="F70:F75" si="172">12*4*C70</f>
        <v>96</v>
      </c>
      <c r="G70" s="23">
        <f t="shared" ref="G70:G80" si="173">26.29*C70</f>
        <v>52.58</v>
      </c>
      <c r="H70" s="23">
        <f t="shared" ref="H70:H75" si="174">0.53*4*C70</f>
        <v>4.24</v>
      </c>
      <c r="I70" s="23">
        <f t="shared" ref="I70:I80" si="175">300.48*C70</f>
        <v>600.96</v>
      </c>
      <c r="J70" s="23">
        <f t="shared" ref="J70:J75" si="176">6*4*C70</f>
        <v>48</v>
      </c>
      <c r="K70" s="23">
        <f>12.02*C70</f>
        <v>24.04</v>
      </c>
      <c r="L70" s="23">
        <f>0.24*4*C70</f>
        <v>1.92</v>
      </c>
      <c r="M70" s="23">
        <f t="shared" si="163"/>
        <v>2029.66</v>
      </c>
      <c r="N70" s="23">
        <f t="shared" ref="N70:S70" si="177">E70</f>
        <v>1201.92</v>
      </c>
      <c r="O70" s="23">
        <f t="shared" si="177"/>
        <v>96</v>
      </c>
      <c r="P70" s="23">
        <f t="shared" si="177"/>
        <v>52.58</v>
      </c>
      <c r="Q70" s="23">
        <f t="shared" si="177"/>
        <v>4.24</v>
      </c>
      <c r="R70" s="23">
        <f t="shared" si="177"/>
        <v>600.96</v>
      </c>
      <c r="S70" s="23">
        <f t="shared" si="177"/>
        <v>48</v>
      </c>
      <c r="T70" s="23">
        <f t="shared" ref="T70:T80" si="178">300.48*C70</f>
        <v>600.96</v>
      </c>
      <c r="U70" s="23">
        <f t="shared" ref="U70:U80" si="179">6*C70*4</f>
        <v>48</v>
      </c>
      <c r="V70" s="23">
        <f t="shared" ref="V70:V80" si="180">11.27*C70</f>
        <v>22.54</v>
      </c>
      <c r="W70" s="23">
        <f t="shared" ref="W70:W80" si="181">0.22*4*C70</f>
        <v>1.76</v>
      </c>
      <c r="X70" s="23">
        <f t="shared" ref="X70:X80" si="182">75.12*C70</f>
        <v>150.24</v>
      </c>
      <c r="Y70" s="23">
        <f t="shared" ref="Y70:Y80" si="183">1.5*4*C70</f>
        <v>12</v>
      </c>
      <c r="Z70" s="23">
        <v>0</v>
      </c>
      <c r="AA70" s="23">
        <f t="shared" si="165"/>
        <v>24.04</v>
      </c>
      <c r="AB70" s="23">
        <f t="shared" si="166"/>
        <v>1.92</v>
      </c>
      <c r="AC70" s="23">
        <f t="shared" si="167"/>
        <v>2865.16</v>
      </c>
      <c r="AD70" s="23">
        <f t="shared" si="168"/>
        <v>3364.5</v>
      </c>
      <c r="AE70" s="23">
        <f t="shared" si="169"/>
        <v>6229.66</v>
      </c>
      <c r="AF70" s="24"/>
    </row>
    <row r="71" s="1" customFormat="1" ht="40" customHeight="1" spans="1:32">
      <c r="A71" s="21">
        <v>68</v>
      </c>
      <c r="B71" s="25" t="s">
        <v>95</v>
      </c>
      <c r="C71" s="21">
        <v>1</v>
      </c>
      <c r="D71" s="21">
        <f t="shared" si="162"/>
        <v>2100</v>
      </c>
      <c r="E71" s="23">
        <f t="shared" si="171"/>
        <v>600.96</v>
      </c>
      <c r="F71" s="23">
        <v>0</v>
      </c>
      <c r="G71" s="23">
        <f t="shared" si="173"/>
        <v>26.29</v>
      </c>
      <c r="H71" s="23">
        <v>0</v>
      </c>
      <c r="I71" s="23">
        <f t="shared" si="175"/>
        <v>300.48</v>
      </c>
      <c r="J71" s="23">
        <v>0</v>
      </c>
      <c r="K71" s="23">
        <f t="shared" ref="K71:K75" si="184">6.01*C71</f>
        <v>6.01</v>
      </c>
      <c r="L71" s="23">
        <v>0</v>
      </c>
      <c r="M71" s="23">
        <f t="shared" si="163"/>
        <v>933.74</v>
      </c>
      <c r="N71" s="23">
        <f t="shared" ref="N71:S71" si="185">E71</f>
        <v>600.96</v>
      </c>
      <c r="O71" s="23">
        <f t="shared" si="185"/>
        <v>0</v>
      </c>
      <c r="P71" s="23">
        <f t="shared" si="185"/>
        <v>26.29</v>
      </c>
      <c r="Q71" s="23">
        <f t="shared" si="185"/>
        <v>0</v>
      </c>
      <c r="R71" s="23">
        <f t="shared" si="185"/>
        <v>300.48</v>
      </c>
      <c r="S71" s="23">
        <f t="shared" si="185"/>
        <v>0</v>
      </c>
      <c r="T71" s="23">
        <f t="shared" si="178"/>
        <v>300.48</v>
      </c>
      <c r="U71" s="23">
        <v>0</v>
      </c>
      <c r="V71" s="23">
        <f t="shared" si="180"/>
        <v>11.27</v>
      </c>
      <c r="W71" s="23">
        <v>0</v>
      </c>
      <c r="X71" s="23">
        <f t="shared" si="182"/>
        <v>75.12</v>
      </c>
      <c r="Y71" s="23">
        <v>0</v>
      </c>
      <c r="Z71" s="23">
        <v>0</v>
      </c>
      <c r="AA71" s="23">
        <f t="shared" si="165"/>
        <v>6.01</v>
      </c>
      <c r="AB71" s="23">
        <f t="shared" si="166"/>
        <v>0</v>
      </c>
      <c r="AC71" s="23">
        <f t="shared" si="167"/>
        <v>1320.61</v>
      </c>
      <c r="AD71" s="23">
        <f t="shared" si="168"/>
        <v>1713.13</v>
      </c>
      <c r="AE71" s="23">
        <f t="shared" si="169"/>
        <v>3033.74</v>
      </c>
      <c r="AF71" s="29" t="s">
        <v>96</v>
      </c>
    </row>
    <row r="72" s="1" customFormat="1" ht="40" customHeight="1" spans="1:32">
      <c r="A72" s="21">
        <v>69</v>
      </c>
      <c r="B72" s="25" t="s">
        <v>97</v>
      </c>
      <c r="C72" s="21">
        <v>1</v>
      </c>
      <c r="D72" s="21">
        <f t="shared" si="162"/>
        <v>2100</v>
      </c>
      <c r="E72" s="23">
        <f t="shared" si="171"/>
        <v>600.96</v>
      </c>
      <c r="F72" s="23">
        <f t="shared" si="172"/>
        <v>48</v>
      </c>
      <c r="G72" s="23">
        <f t="shared" si="173"/>
        <v>26.29</v>
      </c>
      <c r="H72" s="23">
        <f t="shared" si="174"/>
        <v>2.12</v>
      </c>
      <c r="I72" s="23">
        <f t="shared" si="175"/>
        <v>300.48</v>
      </c>
      <c r="J72" s="23">
        <f t="shared" si="176"/>
        <v>24</v>
      </c>
      <c r="K72" s="23">
        <f t="shared" si="184"/>
        <v>6.01</v>
      </c>
      <c r="L72" s="23">
        <f t="shared" ref="L72:L75" si="186">0.12*4*C72</f>
        <v>0.48</v>
      </c>
      <c r="M72" s="23">
        <f t="shared" si="163"/>
        <v>1008.34</v>
      </c>
      <c r="N72" s="23">
        <f t="shared" ref="N72:S72" si="187">E72</f>
        <v>600.96</v>
      </c>
      <c r="O72" s="23">
        <f t="shared" si="187"/>
        <v>48</v>
      </c>
      <c r="P72" s="23">
        <f t="shared" si="187"/>
        <v>26.29</v>
      </c>
      <c r="Q72" s="23">
        <f t="shared" si="187"/>
        <v>2.12</v>
      </c>
      <c r="R72" s="23">
        <f t="shared" si="187"/>
        <v>300.48</v>
      </c>
      <c r="S72" s="23">
        <f t="shared" si="187"/>
        <v>24</v>
      </c>
      <c r="T72" s="23">
        <f t="shared" si="178"/>
        <v>300.48</v>
      </c>
      <c r="U72" s="23">
        <f t="shared" si="179"/>
        <v>24</v>
      </c>
      <c r="V72" s="23">
        <f t="shared" si="180"/>
        <v>11.27</v>
      </c>
      <c r="W72" s="23">
        <f t="shared" si="181"/>
        <v>0.88</v>
      </c>
      <c r="X72" s="23">
        <f t="shared" si="182"/>
        <v>75.12</v>
      </c>
      <c r="Y72" s="23">
        <f t="shared" si="183"/>
        <v>6</v>
      </c>
      <c r="Z72" s="23">
        <v>0</v>
      </c>
      <c r="AA72" s="23">
        <f t="shared" si="165"/>
        <v>6.01</v>
      </c>
      <c r="AB72" s="23">
        <f t="shared" si="166"/>
        <v>0.48</v>
      </c>
      <c r="AC72" s="23">
        <f t="shared" si="167"/>
        <v>1426.09</v>
      </c>
      <c r="AD72" s="23">
        <f t="shared" si="168"/>
        <v>1682.25</v>
      </c>
      <c r="AE72" s="23">
        <f t="shared" si="169"/>
        <v>3108.34</v>
      </c>
      <c r="AF72" s="24"/>
    </row>
    <row r="73" s="1" customFormat="1" ht="40" customHeight="1" spans="1:32">
      <c r="A73" s="21">
        <v>70</v>
      </c>
      <c r="B73" s="25" t="s">
        <v>98</v>
      </c>
      <c r="C73" s="21">
        <v>1</v>
      </c>
      <c r="D73" s="21">
        <f t="shared" si="162"/>
        <v>2100</v>
      </c>
      <c r="E73" s="23">
        <f t="shared" si="171"/>
        <v>600.96</v>
      </c>
      <c r="F73" s="23">
        <f t="shared" si="172"/>
        <v>48</v>
      </c>
      <c r="G73" s="23">
        <f t="shared" si="173"/>
        <v>26.29</v>
      </c>
      <c r="H73" s="23">
        <f t="shared" si="174"/>
        <v>2.12</v>
      </c>
      <c r="I73" s="23">
        <f t="shared" si="175"/>
        <v>300.48</v>
      </c>
      <c r="J73" s="23">
        <f t="shared" si="176"/>
        <v>24</v>
      </c>
      <c r="K73" s="23">
        <f t="shared" si="184"/>
        <v>6.01</v>
      </c>
      <c r="L73" s="23">
        <f t="shared" si="186"/>
        <v>0.48</v>
      </c>
      <c r="M73" s="23">
        <f t="shared" si="163"/>
        <v>1008.34</v>
      </c>
      <c r="N73" s="23">
        <f t="shared" ref="N73:S73" si="188">E73</f>
        <v>600.96</v>
      </c>
      <c r="O73" s="23">
        <f t="shared" si="188"/>
        <v>48</v>
      </c>
      <c r="P73" s="23">
        <f t="shared" si="188"/>
        <v>26.29</v>
      </c>
      <c r="Q73" s="23">
        <f t="shared" si="188"/>
        <v>2.12</v>
      </c>
      <c r="R73" s="23">
        <f t="shared" si="188"/>
        <v>300.48</v>
      </c>
      <c r="S73" s="23">
        <f t="shared" si="188"/>
        <v>24</v>
      </c>
      <c r="T73" s="23">
        <f t="shared" si="178"/>
        <v>300.48</v>
      </c>
      <c r="U73" s="23">
        <f t="shared" si="179"/>
        <v>24</v>
      </c>
      <c r="V73" s="23">
        <f t="shared" si="180"/>
        <v>11.27</v>
      </c>
      <c r="W73" s="23">
        <f t="shared" si="181"/>
        <v>0.88</v>
      </c>
      <c r="X73" s="23">
        <f t="shared" si="182"/>
        <v>75.12</v>
      </c>
      <c r="Y73" s="23">
        <f t="shared" si="183"/>
        <v>6</v>
      </c>
      <c r="Z73" s="23">
        <v>0</v>
      </c>
      <c r="AA73" s="23">
        <f t="shared" si="165"/>
        <v>6.01</v>
      </c>
      <c r="AB73" s="23">
        <f t="shared" si="166"/>
        <v>0.48</v>
      </c>
      <c r="AC73" s="23">
        <f t="shared" si="167"/>
        <v>1426.09</v>
      </c>
      <c r="AD73" s="23">
        <f t="shared" si="168"/>
        <v>1682.25</v>
      </c>
      <c r="AE73" s="23">
        <f t="shared" si="169"/>
        <v>3108.34</v>
      </c>
      <c r="AF73" s="24"/>
    </row>
    <row r="74" s="1" customFormat="1" ht="40" customHeight="1" spans="1:32">
      <c r="A74" s="21">
        <v>71</v>
      </c>
      <c r="B74" s="25" t="s">
        <v>99</v>
      </c>
      <c r="C74" s="21">
        <v>5</v>
      </c>
      <c r="D74" s="21">
        <f t="shared" si="162"/>
        <v>10500</v>
      </c>
      <c r="E74" s="23">
        <f t="shared" si="171"/>
        <v>3004.8</v>
      </c>
      <c r="F74" s="23">
        <f t="shared" si="172"/>
        <v>240</v>
      </c>
      <c r="G74" s="23">
        <f t="shared" si="173"/>
        <v>131.45</v>
      </c>
      <c r="H74" s="23">
        <f t="shared" si="174"/>
        <v>10.6</v>
      </c>
      <c r="I74" s="23">
        <f t="shared" si="175"/>
        <v>1502.4</v>
      </c>
      <c r="J74" s="23">
        <f t="shared" si="176"/>
        <v>120</v>
      </c>
      <c r="K74" s="23">
        <f t="shared" si="184"/>
        <v>30.05</v>
      </c>
      <c r="L74" s="23">
        <f t="shared" si="186"/>
        <v>2.4</v>
      </c>
      <c r="M74" s="23">
        <f t="shared" si="163"/>
        <v>5041.7</v>
      </c>
      <c r="N74" s="23">
        <f t="shared" ref="N74:S74" si="189">E74</f>
        <v>3004.8</v>
      </c>
      <c r="O74" s="23">
        <f t="shared" si="189"/>
        <v>240</v>
      </c>
      <c r="P74" s="23">
        <f t="shared" si="189"/>
        <v>131.45</v>
      </c>
      <c r="Q74" s="23">
        <f t="shared" si="189"/>
        <v>10.6</v>
      </c>
      <c r="R74" s="23">
        <f t="shared" si="189"/>
        <v>1502.4</v>
      </c>
      <c r="S74" s="23">
        <f t="shared" si="189"/>
        <v>120</v>
      </c>
      <c r="T74" s="23">
        <f t="shared" si="178"/>
        <v>1502.4</v>
      </c>
      <c r="U74" s="23">
        <f t="shared" si="179"/>
        <v>120</v>
      </c>
      <c r="V74" s="23">
        <f t="shared" si="180"/>
        <v>56.35</v>
      </c>
      <c r="W74" s="23">
        <f t="shared" si="181"/>
        <v>4.4</v>
      </c>
      <c r="X74" s="23">
        <f t="shared" si="182"/>
        <v>375.6</v>
      </c>
      <c r="Y74" s="23">
        <f t="shared" si="183"/>
        <v>30</v>
      </c>
      <c r="Z74" s="23">
        <v>0</v>
      </c>
      <c r="AA74" s="23">
        <f t="shared" si="165"/>
        <v>30.05</v>
      </c>
      <c r="AB74" s="23">
        <f t="shared" si="166"/>
        <v>2.4</v>
      </c>
      <c r="AC74" s="23">
        <f t="shared" si="167"/>
        <v>7130.45</v>
      </c>
      <c r="AD74" s="23">
        <f t="shared" si="168"/>
        <v>8411.25</v>
      </c>
      <c r="AE74" s="23">
        <f t="shared" si="169"/>
        <v>15541.7</v>
      </c>
      <c r="AF74" s="24"/>
    </row>
    <row r="75" s="1" customFormat="1" ht="40" customHeight="1" spans="1:32">
      <c r="A75" s="21">
        <v>72</v>
      </c>
      <c r="B75" s="25" t="s">
        <v>100</v>
      </c>
      <c r="C75" s="21">
        <v>1</v>
      </c>
      <c r="D75" s="21">
        <f t="shared" si="162"/>
        <v>2100</v>
      </c>
      <c r="E75" s="23">
        <f t="shared" si="171"/>
        <v>600.96</v>
      </c>
      <c r="F75" s="23">
        <f t="shared" si="172"/>
        <v>48</v>
      </c>
      <c r="G75" s="23">
        <f t="shared" si="173"/>
        <v>26.29</v>
      </c>
      <c r="H75" s="23">
        <f t="shared" si="174"/>
        <v>2.12</v>
      </c>
      <c r="I75" s="23">
        <f t="shared" si="175"/>
        <v>300.48</v>
      </c>
      <c r="J75" s="23">
        <f t="shared" si="176"/>
        <v>24</v>
      </c>
      <c r="K75" s="23">
        <f t="shared" si="184"/>
        <v>6.01</v>
      </c>
      <c r="L75" s="23">
        <f t="shared" si="186"/>
        <v>0.48</v>
      </c>
      <c r="M75" s="23">
        <f t="shared" si="163"/>
        <v>1008.34</v>
      </c>
      <c r="N75" s="23">
        <f t="shared" ref="N75:S75" si="190">E75</f>
        <v>600.96</v>
      </c>
      <c r="O75" s="23">
        <f t="shared" si="190"/>
        <v>48</v>
      </c>
      <c r="P75" s="23">
        <f t="shared" si="190"/>
        <v>26.29</v>
      </c>
      <c r="Q75" s="23">
        <f t="shared" si="190"/>
        <v>2.12</v>
      </c>
      <c r="R75" s="23">
        <f t="shared" si="190"/>
        <v>300.48</v>
      </c>
      <c r="S75" s="23">
        <f t="shared" si="190"/>
        <v>24</v>
      </c>
      <c r="T75" s="23">
        <f t="shared" si="178"/>
        <v>300.48</v>
      </c>
      <c r="U75" s="23">
        <f t="shared" si="179"/>
        <v>24</v>
      </c>
      <c r="V75" s="23">
        <f t="shared" si="180"/>
        <v>11.27</v>
      </c>
      <c r="W75" s="23">
        <f t="shared" si="181"/>
        <v>0.88</v>
      </c>
      <c r="X75" s="23">
        <f t="shared" si="182"/>
        <v>75.12</v>
      </c>
      <c r="Y75" s="23">
        <f t="shared" si="183"/>
        <v>6</v>
      </c>
      <c r="Z75" s="23">
        <v>0</v>
      </c>
      <c r="AA75" s="23">
        <f t="shared" si="165"/>
        <v>6.01</v>
      </c>
      <c r="AB75" s="23">
        <f t="shared" si="166"/>
        <v>0.48</v>
      </c>
      <c r="AC75" s="23">
        <f t="shared" si="167"/>
        <v>1426.09</v>
      </c>
      <c r="AD75" s="23">
        <f t="shared" si="168"/>
        <v>1682.25</v>
      </c>
      <c r="AE75" s="23">
        <f t="shared" si="169"/>
        <v>3108.34</v>
      </c>
      <c r="AF75" s="24"/>
    </row>
    <row r="76" s="1" customFormat="1" ht="40" customHeight="1" spans="1:32">
      <c r="A76" s="21">
        <v>73</v>
      </c>
      <c r="B76" s="25" t="s">
        <v>101</v>
      </c>
      <c r="C76" s="21">
        <v>1</v>
      </c>
      <c r="D76" s="21">
        <f t="shared" si="162"/>
        <v>2100</v>
      </c>
      <c r="E76" s="23">
        <f t="shared" si="171"/>
        <v>600.96</v>
      </c>
      <c r="F76" s="23">
        <f>12*4*C76+12</f>
        <v>60</v>
      </c>
      <c r="G76" s="23">
        <f t="shared" si="173"/>
        <v>26.29</v>
      </c>
      <c r="H76" s="23">
        <f>0.53*4*C76+0.53</f>
        <v>2.65</v>
      </c>
      <c r="I76" s="23">
        <f t="shared" si="175"/>
        <v>300.48</v>
      </c>
      <c r="J76" s="23">
        <f>6*4*C76+6</f>
        <v>30</v>
      </c>
      <c r="K76" s="23">
        <f>9.01*C76</f>
        <v>9.01</v>
      </c>
      <c r="L76" s="23">
        <f>0.18*4*C76+0.18</f>
        <v>0.9</v>
      </c>
      <c r="M76" s="23">
        <f t="shared" si="163"/>
        <v>1030.29</v>
      </c>
      <c r="N76" s="23">
        <f t="shared" ref="N76:S76" si="191">E76</f>
        <v>600.96</v>
      </c>
      <c r="O76" s="23">
        <f t="shared" si="191"/>
        <v>60</v>
      </c>
      <c r="P76" s="23">
        <f t="shared" si="191"/>
        <v>26.29</v>
      </c>
      <c r="Q76" s="23">
        <f t="shared" si="191"/>
        <v>2.65</v>
      </c>
      <c r="R76" s="23">
        <f t="shared" si="191"/>
        <v>300.48</v>
      </c>
      <c r="S76" s="23">
        <f t="shared" si="191"/>
        <v>30</v>
      </c>
      <c r="T76" s="23">
        <f t="shared" si="178"/>
        <v>300.48</v>
      </c>
      <c r="U76" s="23">
        <f t="shared" si="179"/>
        <v>24</v>
      </c>
      <c r="V76" s="23">
        <f t="shared" si="180"/>
        <v>11.27</v>
      </c>
      <c r="W76" s="23">
        <f t="shared" si="181"/>
        <v>0.88</v>
      </c>
      <c r="X76" s="23">
        <f t="shared" si="182"/>
        <v>75.12</v>
      </c>
      <c r="Y76" s="23">
        <f t="shared" si="183"/>
        <v>6</v>
      </c>
      <c r="Z76" s="23">
        <v>0</v>
      </c>
      <c r="AA76" s="23">
        <f t="shared" si="165"/>
        <v>9.01</v>
      </c>
      <c r="AB76" s="23">
        <f t="shared" si="166"/>
        <v>0.9</v>
      </c>
      <c r="AC76" s="23">
        <f t="shared" si="167"/>
        <v>1448.04</v>
      </c>
      <c r="AD76" s="23">
        <f t="shared" si="168"/>
        <v>1682.25</v>
      </c>
      <c r="AE76" s="23">
        <f t="shared" si="169"/>
        <v>3130.29</v>
      </c>
      <c r="AF76" s="24"/>
    </row>
    <row r="77" s="1" customFormat="1" ht="40" customHeight="1" spans="1:32">
      <c r="A77" s="21">
        <v>74</v>
      </c>
      <c r="B77" s="25" t="s">
        <v>102</v>
      </c>
      <c r="C77" s="21">
        <v>1</v>
      </c>
      <c r="D77" s="21">
        <f t="shared" si="162"/>
        <v>2100</v>
      </c>
      <c r="E77" s="23">
        <f t="shared" si="171"/>
        <v>600.96</v>
      </c>
      <c r="F77" s="23">
        <f t="shared" ref="F77:F80" si="192">12*4*C77</f>
        <v>48</v>
      </c>
      <c r="G77" s="23">
        <f t="shared" si="173"/>
        <v>26.29</v>
      </c>
      <c r="H77" s="23">
        <f t="shared" ref="H77:H80" si="193">0.53*4*C77</f>
        <v>2.12</v>
      </c>
      <c r="I77" s="23">
        <f t="shared" si="175"/>
        <v>300.48</v>
      </c>
      <c r="J77" s="23">
        <f t="shared" ref="J77:J80" si="194">6*4*C77</f>
        <v>24</v>
      </c>
      <c r="K77" s="23">
        <f t="shared" ref="K77:K79" si="195">6.01*C77</f>
        <v>6.01</v>
      </c>
      <c r="L77" s="23">
        <f t="shared" ref="L77:L79" si="196">0.12*4*C77</f>
        <v>0.48</v>
      </c>
      <c r="M77" s="23">
        <f t="shared" si="163"/>
        <v>1008.34</v>
      </c>
      <c r="N77" s="23">
        <f t="shared" ref="N77:S77" si="197">E77</f>
        <v>600.96</v>
      </c>
      <c r="O77" s="23">
        <f t="shared" si="197"/>
        <v>48</v>
      </c>
      <c r="P77" s="23">
        <f t="shared" si="197"/>
        <v>26.29</v>
      </c>
      <c r="Q77" s="23">
        <f t="shared" si="197"/>
        <v>2.12</v>
      </c>
      <c r="R77" s="23">
        <f t="shared" si="197"/>
        <v>300.48</v>
      </c>
      <c r="S77" s="23">
        <f t="shared" si="197"/>
        <v>24</v>
      </c>
      <c r="T77" s="23">
        <f t="shared" si="178"/>
        <v>300.48</v>
      </c>
      <c r="U77" s="23">
        <f t="shared" si="179"/>
        <v>24</v>
      </c>
      <c r="V77" s="23">
        <f t="shared" si="180"/>
        <v>11.27</v>
      </c>
      <c r="W77" s="23">
        <f t="shared" si="181"/>
        <v>0.88</v>
      </c>
      <c r="X77" s="23">
        <f t="shared" si="182"/>
        <v>75.12</v>
      </c>
      <c r="Y77" s="23">
        <f t="shared" si="183"/>
        <v>6</v>
      </c>
      <c r="Z77" s="23">
        <v>0</v>
      </c>
      <c r="AA77" s="23">
        <f t="shared" si="165"/>
        <v>6.01</v>
      </c>
      <c r="AB77" s="23">
        <f t="shared" si="166"/>
        <v>0.48</v>
      </c>
      <c r="AC77" s="23">
        <f t="shared" si="167"/>
        <v>1426.09</v>
      </c>
      <c r="AD77" s="23">
        <f t="shared" si="168"/>
        <v>1682.25</v>
      </c>
      <c r="AE77" s="23">
        <f t="shared" si="169"/>
        <v>3108.34</v>
      </c>
      <c r="AF77" s="24"/>
    </row>
    <row r="78" s="1" customFormat="1" ht="40" customHeight="1" spans="1:32">
      <c r="A78" s="21">
        <v>75</v>
      </c>
      <c r="B78" s="25" t="s">
        <v>103</v>
      </c>
      <c r="C78" s="21">
        <v>1</v>
      </c>
      <c r="D78" s="21">
        <f t="shared" si="162"/>
        <v>2100</v>
      </c>
      <c r="E78" s="23">
        <f t="shared" si="171"/>
        <v>600.96</v>
      </c>
      <c r="F78" s="23">
        <f t="shared" si="192"/>
        <v>48</v>
      </c>
      <c r="G78" s="23">
        <f t="shared" si="173"/>
        <v>26.29</v>
      </c>
      <c r="H78" s="23">
        <f t="shared" si="193"/>
        <v>2.12</v>
      </c>
      <c r="I78" s="23">
        <f t="shared" si="175"/>
        <v>300.48</v>
      </c>
      <c r="J78" s="23">
        <f t="shared" si="194"/>
        <v>24</v>
      </c>
      <c r="K78" s="23">
        <f t="shared" si="195"/>
        <v>6.01</v>
      </c>
      <c r="L78" s="23">
        <f t="shared" si="196"/>
        <v>0.48</v>
      </c>
      <c r="M78" s="23">
        <f t="shared" si="163"/>
        <v>1008.34</v>
      </c>
      <c r="N78" s="23">
        <f t="shared" ref="N78:S78" si="198">E78</f>
        <v>600.96</v>
      </c>
      <c r="O78" s="23">
        <f t="shared" si="198"/>
        <v>48</v>
      </c>
      <c r="P78" s="23">
        <f t="shared" si="198"/>
        <v>26.29</v>
      </c>
      <c r="Q78" s="23">
        <f t="shared" si="198"/>
        <v>2.12</v>
      </c>
      <c r="R78" s="23">
        <f t="shared" si="198"/>
        <v>300.48</v>
      </c>
      <c r="S78" s="23">
        <f t="shared" si="198"/>
        <v>24</v>
      </c>
      <c r="T78" s="23">
        <f t="shared" si="178"/>
        <v>300.48</v>
      </c>
      <c r="U78" s="23">
        <f t="shared" si="179"/>
        <v>24</v>
      </c>
      <c r="V78" s="23">
        <f t="shared" si="180"/>
        <v>11.27</v>
      </c>
      <c r="W78" s="23">
        <f t="shared" si="181"/>
        <v>0.88</v>
      </c>
      <c r="X78" s="23">
        <f t="shared" si="182"/>
        <v>75.12</v>
      </c>
      <c r="Y78" s="23">
        <f t="shared" si="183"/>
        <v>6</v>
      </c>
      <c r="Z78" s="23">
        <v>0</v>
      </c>
      <c r="AA78" s="23">
        <f t="shared" si="165"/>
        <v>6.01</v>
      </c>
      <c r="AB78" s="23">
        <f t="shared" si="166"/>
        <v>0.48</v>
      </c>
      <c r="AC78" s="23">
        <f t="shared" si="167"/>
        <v>1426.09</v>
      </c>
      <c r="AD78" s="23">
        <f t="shared" si="168"/>
        <v>1682.25</v>
      </c>
      <c r="AE78" s="23">
        <f t="shared" si="169"/>
        <v>3108.34</v>
      </c>
      <c r="AF78" s="24"/>
    </row>
    <row r="79" s="1" customFormat="1" ht="40" customHeight="1" spans="1:32">
      <c r="A79" s="21">
        <v>76</v>
      </c>
      <c r="B79" s="25" t="s">
        <v>104</v>
      </c>
      <c r="C79" s="21">
        <v>1</v>
      </c>
      <c r="D79" s="21">
        <f t="shared" si="162"/>
        <v>2100</v>
      </c>
      <c r="E79" s="23">
        <f t="shared" si="171"/>
        <v>600.96</v>
      </c>
      <c r="F79" s="23">
        <f t="shared" si="192"/>
        <v>48</v>
      </c>
      <c r="G79" s="23">
        <f t="shared" si="173"/>
        <v>26.29</v>
      </c>
      <c r="H79" s="23">
        <f t="shared" si="193"/>
        <v>2.12</v>
      </c>
      <c r="I79" s="23">
        <f t="shared" si="175"/>
        <v>300.48</v>
      </c>
      <c r="J79" s="23">
        <f t="shared" si="194"/>
        <v>24</v>
      </c>
      <c r="K79" s="23">
        <f t="shared" si="195"/>
        <v>6.01</v>
      </c>
      <c r="L79" s="23">
        <f t="shared" si="196"/>
        <v>0.48</v>
      </c>
      <c r="M79" s="23">
        <f t="shared" si="163"/>
        <v>1008.34</v>
      </c>
      <c r="N79" s="23">
        <f t="shared" ref="N79:S79" si="199">E79</f>
        <v>600.96</v>
      </c>
      <c r="O79" s="23">
        <f t="shared" si="199"/>
        <v>48</v>
      </c>
      <c r="P79" s="23">
        <f t="shared" si="199"/>
        <v>26.29</v>
      </c>
      <c r="Q79" s="23">
        <f t="shared" si="199"/>
        <v>2.12</v>
      </c>
      <c r="R79" s="23">
        <f t="shared" si="199"/>
        <v>300.48</v>
      </c>
      <c r="S79" s="23">
        <f t="shared" si="199"/>
        <v>24</v>
      </c>
      <c r="T79" s="23">
        <f t="shared" si="178"/>
        <v>300.48</v>
      </c>
      <c r="U79" s="23">
        <f t="shared" si="179"/>
        <v>24</v>
      </c>
      <c r="V79" s="23">
        <f t="shared" si="180"/>
        <v>11.27</v>
      </c>
      <c r="W79" s="23">
        <f t="shared" si="181"/>
        <v>0.88</v>
      </c>
      <c r="X79" s="23">
        <f t="shared" si="182"/>
        <v>75.12</v>
      </c>
      <c r="Y79" s="23">
        <f t="shared" si="183"/>
        <v>6</v>
      </c>
      <c r="Z79" s="23">
        <v>0</v>
      </c>
      <c r="AA79" s="23">
        <f t="shared" si="165"/>
        <v>6.01</v>
      </c>
      <c r="AB79" s="23">
        <f t="shared" si="166"/>
        <v>0.48</v>
      </c>
      <c r="AC79" s="23">
        <f t="shared" si="167"/>
        <v>1426.09</v>
      </c>
      <c r="AD79" s="23">
        <f t="shared" si="168"/>
        <v>1682.25</v>
      </c>
      <c r="AE79" s="23">
        <f t="shared" si="169"/>
        <v>3108.34</v>
      </c>
      <c r="AF79" s="24"/>
    </row>
    <row r="80" s="1" customFormat="1" ht="40" customHeight="1" spans="1:32">
      <c r="A80" s="21">
        <v>77</v>
      </c>
      <c r="B80" s="25" t="s">
        <v>105</v>
      </c>
      <c r="C80" s="21">
        <v>1</v>
      </c>
      <c r="D80" s="21">
        <f t="shared" si="162"/>
        <v>2100</v>
      </c>
      <c r="E80" s="23">
        <f t="shared" si="171"/>
        <v>600.96</v>
      </c>
      <c r="F80" s="23">
        <f t="shared" si="192"/>
        <v>48</v>
      </c>
      <c r="G80" s="23">
        <f t="shared" si="173"/>
        <v>26.29</v>
      </c>
      <c r="H80" s="23">
        <f t="shared" si="193"/>
        <v>2.12</v>
      </c>
      <c r="I80" s="23">
        <f t="shared" si="175"/>
        <v>300.48</v>
      </c>
      <c r="J80" s="23">
        <f t="shared" si="194"/>
        <v>24</v>
      </c>
      <c r="K80" s="23">
        <f>12.02*C80</f>
        <v>12.02</v>
      </c>
      <c r="L80" s="23">
        <f>0.24*4*C80</f>
        <v>0.96</v>
      </c>
      <c r="M80" s="23">
        <f t="shared" si="163"/>
        <v>1014.83</v>
      </c>
      <c r="N80" s="23">
        <f t="shared" ref="N80:S80" si="200">E80</f>
        <v>600.96</v>
      </c>
      <c r="O80" s="23">
        <f t="shared" si="200"/>
        <v>48</v>
      </c>
      <c r="P80" s="23">
        <f t="shared" si="200"/>
        <v>26.29</v>
      </c>
      <c r="Q80" s="23">
        <f t="shared" si="200"/>
        <v>2.12</v>
      </c>
      <c r="R80" s="23">
        <f t="shared" si="200"/>
        <v>300.48</v>
      </c>
      <c r="S80" s="23">
        <f t="shared" si="200"/>
        <v>24</v>
      </c>
      <c r="T80" s="23">
        <f t="shared" si="178"/>
        <v>300.48</v>
      </c>
      <c r="U80" s="23">
        <f t="shared" si="179"/>
        <v>24</v>
      </c>
      <c r="V80" s="23">
        <f t="shared" si="180"/>
        <v>11.27</v>
      </c>
      <c r="W80" s="23">
        <f t="shared" si="181"/>
        <v>0.88</v>
      </c>
      <c r="X80" s="23">
        <f t="shared" si="182"/>
        <v>75.12</v>
      </c>
      <c r="Y80" s="23">
        <f t="shared" si="183"/>
        <v>6</v>
      </c>
      <c r="Z80" s="23">
        <v>0</v>
      </c>
      <c r="AA80" s="23">
        <f t="shared" si="165"/>
        <v>12.02</v>
      </c>
      <c r="AB80" s="23">
        <f t="shared" si="166"/>
        <v>0.96</v>
      </c>
      <c r="AC80" s="23">
        <f t="shared" si="167"/>
        <v>1432.58</v>
      </c>
      <c r="AD80" s="23">
        <f t="shared" si="168"/>
        <v>1682.25</v>
      </c>
      <c r="AE80" s="23">
        <f t="shared" si="169"/>
        <v>3114.83</v>
      </c>
      <c r="AF80" s="24"/>
    </row>
    <row r="81" s="1" customFormat="1" ht="40" customHeight="1" spans="1:32">
      <c r="A81" s="21">
        <v>78</v>
      </c>
      <c r="B81" s="25" t="s">
        <v>106</v>
      </c>
      <c r="C81" s="21">
        <v>1</v>
      </c>
      <c r="D81" s="21">
        <f t="shared" si="162"/>
        <v>2100</v>
      </c>
      <c r="E81" s="23">
        <f>612.96*C81</f>
        <v>612.96</v>
      </c>
      <c r="F81" s="23">
        <v>0</v>
      </c>
      <c r="G81" s="23">
        <f>26.82*C81</f>
        <v>26.82</v>
      </c>
      <c r="H81" s="23">
        <v>0</v>
      </c>
      <c r="I81" s="23">
        <f>306.48*C81</f>
        <v>306.48</v>
      </c>
      <c r="J81" s="23">
        <v>0</v>
      </c>
      <c r="K81" s="23">
        <f>6.13*C81</f>
        <v>6.13</v>
      </c>
      <c r="L81" s="23">
        <v>0</v>
      </c>
      <c r="M81" s="23">
        <f t="shared" si="163"/>
        <v>952.39</v>
      </c>
      <c r="N81" s="23">
        <f t="shared" ref="N81:S81" si="201">E81</f>
        <v>612.96</v>
      </c>
      <c r="O81" s="23">
        <f t="shared" si="201"/>
        <v>0</v>
      </c>
      <c r="P81" s="23">
        <f t="shared" si="201"/>
        <v>26.82</v>
      </c>
      <c r="Q81" s="23">
        <f t="shared" si="201"/>
        <v>0</v>
      </c>
      <c r="R81" s="23">
        <f t="shared" si="201"/>
        <v>306.48</v>
      </c>
      <c r="S81" s="23">
        <f t="shared" si="201"/>
        <v>0</v>
      </c>
      <c r="T81" s="23">
        <f>306.48*C81</f>
        <v>306.48</v>
      </c>
      <c r="U81" s="23">
        <v>0</v>
      </c>
      <c r="V81" s="23">
        <f>11.49*C81</f>
        <v>11.49</v>
      </c>
      <c r="W81" s="23">
        <v>0</v>
      </c>
      <c r="X81" s="23">
        <f>76.62*C81</f>
        <v>76.62</v>
      </c>
      <c r="Y81" s="23">
        <v>0</v>
      </c>
      <c r="Z81" s="23">
        <v>0</v>
      </c>
      <c r="AA81" s="23">
        <f t="shared" si="165"/>
        <v>6.13</v>
      </c>
      <c r="AB81" s="23">
        <f t="shared" si="166"/>
        <v>0</v>
      </c>
      <c r="AC81" s="23">
        <f t="shared" si="167"/>
        <v>1346.98</v>
      </c>
      <c r="AD81" s="23">
        <f t="shared" si="168"/>
        <v>1705.41</v>
      </c>
      <c r="AE81" s="23">
        <f t="shared" si="169"/>
        <v>3052.39</v>
      </c>
      <c r="AF81" s="24"/>
    </row>
    <row r="82" s="1" customFormat="1" ht="40" customHeight="1" spans="1:32">
      <c r="A82" s="21"/>
      <c r="B82" s="26" t="s">
        <v>107</v>
      </c>
      <c r="C82" s="21">
        <f t="shared" ref="C82:AE82" si="202">SUM(C4:C81)</f>
        <v>696</v>
      </c>
      <c r="D82" s="21">
        <f t="shared" si="202"/>
        <v>1461600</v>
      </c>
      <c r="E82" s="21">
        <f t="shared" si="202"/>
        <v>418400.16</v>
      </c>
      <c r="F82" s="21">
        <f t="shared" si="202"/>
        <v>33648</v>
      </c>
      <c r="G82" s="21">
        <f t="shared" si="202"/>
        <v>18303.67</v>
      </c>
      <c r="H82" s="21">
        <f t="shared" si="202"/>
        <v>1486.12</v>
      </c>
      <c r="I82" s="21">
        <f t="shared" si="202"/>
        <v>209200.08</v>
      </c>
      <c r="J82" s="21">
        <f t="shared" si="202"/>
        <v>16824</v>
      </c>
      <c r="K82" s="21">
        <f t="shared" si="202"/>
        <v>4616.84000000001</v>
      </c>
      <c r="L82" s="21">
        <f t="shared" si="202"/>
        <v>372.84</v>
      </c>
      <c r="M82" s="21">
        <f t="shared" si="202"/>
        <v>702851.71</v>
      </c>
      <c r="N82" s="21">
        <f t="shared" si="202"/>
        <v>418400.16</v>
      </c>
      <c r="O82" s="21">
        <f t="shared" si="202"/>
        <v>33648</v>
      </c>
      <c r="P82" s="21">
        <f t="shared" si="202"/>
        <v>18303.67</v>
      </c>
      <c r="Q82" s="21">
        <f t="shared" si="202"/>
        <v>1486.12</v>
      </c>
      <c r="R82" s="21">
        <f t="shared" si="202"/>
        <v>209200.08</v>
      </c>
      <c r="S82" s="21">
        <f t="shared" si="202"/>
        <v>16824</v>
      </c>
      <c r="T82" s="21">
        <f t="shared" si="202"/>
        <v>209200.08</v>
      </c>
      <c r="U82" s="21">
        <f t="shared" si="202"/>
        <v>16236</v>
      </c>
      <c r="V82" s="21">
        <f t="shared" si="202"/>
        <v>7846.34000000001</v>
      </c>
      <c r="W82" s="21">
        <f t="shared" si="202"/>
        <v>595.32</v>
      </c>
      <c r="X82" s="21">
        <f t="shared" si="202"/>
        <v>52300.02</v>
      </c>
      <c r="Y82" s="21">
        <f t="shared" si="202"/>
        <v>4059</v>
      </c>
      <c r="Z82" s="21">
        <f t="shared" si="202"/>
        <v>0</v>
      </c>
      <c r="AA82" s="21">
        <f t="shared" si="202"/>
        <v>4616.84000000001</v>
      </c>
      <c r="AB82" s="21">
        <f t="shared" si="202"/>
        <v>372.84</v>
      </c>
      <c r="AC82" s="21">
        <f t="shared" si="202"/>
        <v>993088.47</v>
      </c>
      <c r="AD82" s="21">
        <f t="shared" si="202"/>
        <v>1171363.24</v>
      </c>
      <c r="AE82" s="21">
        <f t="shared" si="202"/>
        <v>2164451.71</v>
      </c>
      <c r="AF82" s="24"/>
    </row>
    <row r="83" s="1" customFormat="1" ht="40" customHeight="1" spans="1:32">
      <c r="A83" s="21">
        <v>1</v>
      </c>
      <c r="B83" s="22" t="s">
        <v>108</v>
      </c>
      <c r="C83" s="21">
        <v>5</v>
      </c>
      <c r="D83" s="21">
        <f t="shared" ref="D83:D90" si="203">2100*C83</f>
        <v>10500</v>
      </c>
      <c r="E83" s="23">
        <f t="shared" ref="E83:E90" si="204">600.96*C83</f>
        <v>3004.8</v>
      </c>
      <c r="F83" s="23">
        <f>12*4*C83+12</f>
        <v>252</v>
      </c>
      <c r="G83" s="23">
        <f t="shared" ref="G83:G90" si="205">26.29*C83</f>
        <v>131.45</v>
      </c>
      <c r="H83" s="23">
        <f>0.53*4*C83+0.53</f>
        <v>11.13</v>
      </c>
      <c r="I83" s="23">
        <f t="shared" ref="I83:I90" si="206">300.48*C83</f>
        <v>1502.4</v>
      </c>
      <c r="J83" s="23">
        <f>6*4*C83+6</f>
        <v>126</v>
      </c>
      <c r="K83" s="23">
        <f t="shared" ref="K83:K90" si="207">6.01*C83</f>
        <v>30.05</v>
      </c>
      <c r="L83" s="23">
        <f>0.12*4*C83+0.12</f>
        <v>2.52</v>
      </c>
      <c r="M83" s="23">
        <f t="shared" ref="M83:M90" si="208">SUM(E83:L83)</f>
        <v>5060.35</v>
      </c>
      <c r="N83" s="23">
        <f t="shared" ref="N83:S83" si="209">E83</f>
        <v>3004.8</v>
      </c>
      <c r="O83" s="23">
        <f t="shared" si="209"/>
        <v>252</v>
      </c>
      <c r="P83" s="23">
        <f t="shared" si="209"/>
        <v>131.45</v>
      </c>
      <c r="Q83" s="23">
        <f t="shared" si="209"/>
        <v>11.13</v>
      </c>
      <c r="R83" s="23">
        <f t="shared" si="209"/>
        <v>1502.4</v>
      </c>
      <c r="S83" s="23">
        <f t="shared" si="209"/>
        <v>126</v>
      </c>
      <c r="T83" s="23">
        <f t="shared" ref="T83:T90" si="210">300.48*C83</f>
        <v>1502.4</v>
      </c>
      <c r="U83" s="23">
        <f t="shared" ref="U83:U90" si="211">6*C83*4</f>
        <v>120</v>
      </c>
      <c r="V83" s="23">
        <f t="shared" ref="V83:V90" si="212">11.27*C83</f>
        <v>56.35</v>
      </c>
      <c r="W83" s="23">
        <f t="shared" ref="W83:W90" si="213">0.22*4*C83</f>
        <v>4.4</v>
      </c>
      <c r="X83" s="23">
        <f t="shared" ref="X83:X90" si="214">75.12*C83</f>
        <v>375.6</v>
      </c>
      <c r="Y83" s="23">
        <f t="shared" ref="Y83:Y90" si="215">1.5*4*C83</f>
        <v>30</v>
      </c>
      <c r="Z83" s="23">
        <v>0</v>
      </c>
      <c r="AA83" s="23">
        <f t="shared" ref="AA83:AA90" si="216">K83</f>
        <v>30.05</v>
      </c>
      <c r="AB83" s="23">
        <f t="shared" ref="AB83:AB90" si="217">L83</f>
        <v>2.52</v>
      </c>
      <c r="AC83" s="23">
        <f t="shared" ref="AC83:AC90" si="218">SUM(N83:AB83)</f>
        <v>7149.1</v>
      </c>
      <c r="AD83" s="23">
        <f t="shared" ref="AD83:AD90" si="219">D83-T83-V83-X83-Z83-U83-W83-Y83</f>
        <v>8411.25</v>
      </c>
      <c r="AE83" s="23">
        <f t="shared" ref="AE83:AE90" si="220">D83+M83</f>
        <v>15560.35</v>
      </c>
      <c r="AF83" s="24"/>
    </row>
    <row r="84" s="1" customFormat="1" ht="40" customHeight="1" spans="1:32">
      <c r="A84" s="21">
        <v>2</v>
      </c>
      <c r="B84" s="22" t="s">
        <v>109</v>
      </c>
      <c r="C84" s="21">
        <v>3</v>
      </c>
      <c r="D84" s="21">
        <f t="shared" si="203"/>
        <v>6300</v>
      </c>
      <c r="E84" s="23">
        <f t="shared" si="204"/>
        <v>1802.88</v>
      </c>
      <c r="F84" s="23">
        <f t="shared" ref="F84:F88" si="221">12*4*C84</f>
        <v>144</v>
      </c>
      <c r="G84" s="23">
        <f t="shared" si="205"/>
        <v>78.87</v>
      </c>
      <c r="H84" s="23">
        <f t="shared" ref="H84:H88" si="222">0.53*4*C84</f>
        <v>6.36</v>
      </c>
      <c r="I84" s="23">
        <f t="shared" si="206"/>
        <v>901.44</v>
      </c>
      <c r="J84" s="23">
        <f t="shared" ref="J84:J88" si="223">6*4*C84</f>
        <v>72</v>
      </c>
      <c r="K84" s="23">
        <f t="shared" si="207"/>
        <v>18.03</v>
      </c>
      <c r="L84" s="23">
        <f t="shared" ref="L84:L88" si="224">0.12*4*C84</f>
        <v>1.44</v>
      </c>
      <c r="M84" s="23">
        <f t="shared" si="208"/>
        <v>3025.02</v>
      </c>
      <c r="N84" s="23">
        <f t="shared" ref="N84:S84" si="225">E84</f>
        <v>1802.88</v>
      </c>
      <c r="O84" s="23">
        <f t="shared" si="225"/>
        <v>144</v>
      </c>
      <c r="P84" s="23">
        <f t="shared" si="225"/>
        <v>78.87</v>
      </c>
      <c r="Q84" s="23">
        <f t="shared" si="225"/>
        <v>6.36</v>
      </c>
      <c r="R84" s="23">
        <f t="shared" si="225"/>
        <v>901.44</v>
      </c>
      <c r="S84" s="23">
        <f t="shared" si="225"/>
        <v>72</v>
      </c>
      <c r="T84" s="23">
        <f t="shared" si="210"/>
        <v>901.44</v>
      </c>
      <c r="U84" s="23">
        <f t="shared" si="211"/>
        <v>72</v>
      </c>
      <c r="V84" s="23">
        <f t="shared" si="212"/>
        <v>33.81</v>
      </c>
      <c r="W84" s="23">
        <f t="shared" si="213"/>
        <v>2.64</v>
      </c>
      <c r="X84" s="23">
        <f t="shared" si="214"/>
        <v>225.36</v>
      </c>
      <c r="Y84" s="23">
        <f t="shared" si="215"/>
        <v>18</v>
      </c>
      <c r="Z84" s="23">
        <v>0</v>
      </c>
      <c r="AA84" s="23">
        <f t="shared" si="216"/>
        <v>18.03</v>
      </c>
      <c r="AB84" s="23">
        <f t="shared" si="217"/>
        <v>1.44</v>
      </c>
      <c r="AC84" s="23">
        <f t="shared" si="218"/>
        <v>4278.27</v>
      </c>
      <c r="AD84" s="23">
        <f t="shared" si="219"/>
        <v>5046.75</v>
      </c>
      <c r="AE84" s="23">
        <f t="shared" si="220"/>
        <v>9325.02</v>
      </c>
      <c r="AF84" s="24"/>
    </row>
    <row r="85" s="1" customFormat="1" ht="40" customHeight="1" spans="1:32">
      <c r="A85" s="21">
        <v>3</v>
      </c>
      <c r="B85" s="22" t="s">
        <v>110</v>
      </c>
      <c r="C85" s="21">
        <v>1</v>
      </c>
      <c r="D85" s="21">
        <f t="shared" si="203"/>
        <v>2100</v>
      </c>
      <c r="E85" s="23">
        <f>612.96*C85</f>
        <v>612.96</v>
      </c>
      <c r="F85" s="23">
        <v>0</v>
      </c>
      <c r="G85" s="23">
        <f>26.82*C85</f>
        <v>26.82</v>
      </c>
      <c r="H85" s="23">
        <v>0</v>
      </c>
      <c r="I85" s="23">
        <f>306.48*C85</f>
        <v>306.48</v>
      </c>
      <c r="J85" s="23">
        <v>0</v>
      </c>
      <c r="K85" s="23">
        <f>6.13*C85</f>
        <v>6.13</v>
      </c>
      <c r="L85" s="23">
        <v>0</v>
      </c>
      <c r="M85" s="23">
        <f t="shared" si="208"/>
        <v>952.39</v>
      </c>
      <c r="N85" s="23">
        <f t="shared" ref="N85:S85" si="226">E85</f>
        <v>612.96</v>
      </c>
      <c r="O85" s="23">
        <f t="shared" si="226"/>
        <v>0</v>
      </c>
      <c r="P85" s="23">
        <f t="shared" si="226"/>
        <v>26.82</v>
      </c>
      <c r="Q85" s="23">
        <f t="shared" si="226"/>
        <v>0</v>
      </c>
      <c r="R85" s="23">
        <f t="shared" si="226"/>
        <v>306.48</v>
      </c>
      <c r="S85" s="23">
        <f t="shared" si="226"/>
        <v>0</v>
      </c>
      <c r="T85" s="23">
        <f>306.48*C85</f>
        <v>306.48</v>
      </c>
      <c r="U85" s="23">
        <v>0</v>
      </c>
      <c r="V85" s="23">
        <f>11.49*C85</f>
        <v>11.49</v>
      </c>
      <c r="W85" s="23">
        <v>0</v>
      </c>
      <c r="X85" s="23">
        <f>76.62*C85</f>
        <v>76.62</v>
      </c>
      <c r="Y85" s="23">
        <v>0</v>
      </c>
      <c r="Z85" s="23">
        <v>0</v>
      </c>
      <c r="AA85" s="23">
        <f t="shared" si="216"/>
        <v>6.13</v>
      </c>
      <c r="AB85" s="23">
        <f t="shared" si="217"/>
        <v>0</v>
      </c>
      <c r="AC85" s="23">
        <f t="shared" si="218"/>
        <v>1346.98</v>
      </c>
      <c r="AD85" s="23">
        <f t="shared" si="219"/>
        <v>1705.41</v>
      </c>
      <c r="AE85" s="23">
        <f t="shared" si="220"/>
        <v>3052.39</v>
      </c>
      <c r="AF85" s="29" t="s">
        <v>111</v>
      </c>
    </row>
    <row r="86" s="1" customFormat="1" ht="40" customHeight="1" spans="1:32">
      <c r="A86" s="21">
        <v>4</v>
      </c>
      <c r="B86" s="22" t="s">
        <v>112</v>
      </c>
      <c r="C86" s="21">
        <v>5</v>
      </c>
      <c r="D86" s="21">
        <f t="shared" si="203"/>
        <v>10500</v>
      </c>
      <c r="E86" s="23">
        <f t="shared" si="204"/>
        <v>3004.8</v>
      </c>
      <c r="F86" s="23">
        <f>12*4*C86+12*3</f>
        <v>276</v>
      </c>
      <c r="G86" s="23">
        <f t="shared" si="205"/>
        <v>131.45</v>
      </c>
      <c r="H86" s="23">
        <f>0.53*4*C86+0.53*3</f>
        <v>12.19</v>
      </c>
      <c r="I86" s="23">
        <f t="shared" si="206"/>
        <v>1502.4</v>
      </c>
      <c r="J86" s="23">
        <f>6*4*C86+6*3</f>
        <v>138</v>
      </c>
      <c r="K86" s="23">
        <f t="shared" si="207"/>
        <v>30.05</v>
      </c>
      <c r="L86" s="23">
        <f>0.12*4*C86+0.12*3</f>
        <v>2.76</v>
      </c>
      <c r="M86" s="23">
        <f t="shared" si="208"/>
        <v>5097.65</v>
      </c>
      <c r="N86" s="23">
        <f t="shared" ref="N86:S86" si="227">E86</f>
        <v>3004.8</v>
      </c>
      <c r="O86" s="23">
        <f t="shared" si="227"/>
        <v>276</v>
      </c>
      <c r="P86" s="23">
        <f t="shared" si="227"/>
        <v>131.45</v>
      </c>
      <c r="Q86" s="23">
        <f t="shared" si="227"/>
        <v>12.19</v>
      </c>
      <c r="R86" s="23">
        <f t="shared" si="227"/>
        <v>1502.4</v>
      </c>
      <c r="S86" s="23">
        <f t="shared" si="227"/>
        <v>138</v>
      </c>
      <c r="T86" s="23">
        <f t="shared" si="210"/>
        <v>1502.4</v>
      </c>
      <c r="U86" s="23">
        <f t="shared" si="211"/>
        <v>120</v>
      </c>
      <c r="V86" s="23">
        <f t="shared" si="212"/>
        <v>56.35</v>
      </c>
      <c r="W86" s="23">
        <f t="shared" si="213"/>
        <v>4.4</v>
      </c>
      <c r="X86" s="23">
        <f t="shared" si="214"/>
        <v>375.6</v>
      </c>
      <c r="Y86" s="23">
        <f t="shared" si="215"/>
        <v>30</v>
      </c>
      <c r="Z86" s="23">
        <v>0</v>
      </c>
      <c r="AA86" s="23">
        <f t="shared" si="216"/>
        <v>30.05</v>
      </c>
      <c r="AB86" s="23">
        <f t="shared" si="217"/>
        <v>2.76</v>
      </c>
      <c r="AC86" s="23">
        <f t="shared" si="218"/>
        <v>7186.4</v>
      </c>
      <c r="AD86" s="23">
        <f t="shared" si="219"/>
        <v>8411.25</v>
      </c>
      <c r="AE86" s="23">
        <f t="shared" si="220"/>
        <v>15597.65</v>
      </c>
      <c r="AF86" s="24"/>
    </row>
    <row r="87" s="1" customFormat="1" ht="40" customHeight="1" spans="1:32">
      <c r="A87" s="21">
        <v>5</v>
      </c>
      <c r="B87" s="25" t="s">
        <v>113</v>
      </c>
      <c r="C87" s="21">
        <v>1</v>
      </c>
      <c r="D87" s="21">
        <f t="shared" si="203"/>
        <v>2100</v>
      </c>
      <c r="E87" s="23">
        <f t="shared" si="204"/>
        <v>600.96</v>
      </c>
      <c r="F87" s="23">
        <f t="shared" si="221"/>
        <v>48</v>
      </c>
      <c r="G87" s="23">
        <f t="shared" si="205"/>
        <v>26.29</v>
      </c>
      <c r="H87" s="23">
        <f t="shared" si="222"/>
        <v>2.12</v>
      </c>
      <c r="I87" s="23">
        <f t="shared" si="206"/>
        <v>300.48</v>
      </c>
      <c r="J87" s="23">
        <f t="shared" si="223"/>
        <v>24</v>
      </c>
      <c r="K87" s="23">
        <f t="shared" si="207"/>
        <v>6.01</v>
      </c>
      <c r="L87" s="23">
        <f t="shared" si="224"/>
        <v>0.48</v>
      </c>
      <c r="M87" s="23">
        <f t="shared" si="208"/>
        <v>1008.34</v>
      </c>
      <c r="N87" s="23">
        <f t="shared" ref="N87:S87" si="228">E87</f>
        <v>600.96</v>
      </c>
      <c r="O87" s="23">
        <f t="shared" si="228"/>
        <v>48</v>
      </c>
      <c r="P87" s="23">
        <f t="shared" si="228"/>
        <v>26.29</v>
      </c>
      <c r="Q87" s="23">
        <f t="shared" si="228"/>
        <v>2.12</v>
      </c>
      <c r="R87" s="23">
        <f t="shared" si="228"/>
        <v>300.48</v>
      </c>
      <c r="S87" s="23">
        <f t="shared" si="228"/>
        <v>24</v>
      </c>
      <c r="T87" s="23">
        <f t="shared" si="210"/>
        <v>300.48</v>
      </c>
      <c r="U87" s="23">
        <f t="shared" si="211"/>
        <v>24</v>
      </c>
      <c r="V87" s="23">
        <f t="shared" si="212"/>
        <v>11.27</v>
      </c>
      <c r="W87" s="23">
        <f t="shared" si="213"/>
        <v>0.88</v>
      </c>
      <c r="X87" s="23">
        <f t="shared" si="214"/>
        <v>75.12</v>
      </c>
      <c r="Y87" s="23">
        <f t="shared" si="215"/>
        <v>6</v>
      </c>
      <c r="Z87" s="23">
        <v>0</v>
      </c>
      <c r="AA87" s="23">
        <f t="shared" si="216"/>
        <v>6.01</v>
      </c>
      <c r="AB87" s="23">
        <f t="shared" si="217"/>
        <v>0.48</v>
      </c>
      <c r="AC87" s="23">
        <f t="shared" si="218"/>
        <v>1426.09</v>
      </c>
      <c r="AD87" s="23">
        <f t="shared" si="219"/>
        <v>1682.25</v>
      </c>
      <c r="AE87" s="23">
        <f t="shared" si="220"/>
        <v>3108.34</v>
      </c>
      <c r="AF87" s="24"/>
    </row>
    <row r="88" s="1" customFormat="1" ht="40" customHeight="1" spans="1:32">
      <c r="A88" s="21">
        <v>6</v>
      </c>
      <c r="B88" s="26" t="s">
        <v>114</v>
      </c>
      <c r="C88" s="21">
        <v>3</v>
      </c>
      <c r="D88" s="21">
        <f t="shared" si="203"/>
        <v>6300</v>
      </c>
      <c r="E88" s="23">
        <f t="shared" si="204"/>
        <v>1802.88</v>
      </c>
      <c r="F88" s="23">
        <f t="shared" si="221"/>
        <v>144</v>
      </c>
      <c r="G88" s="23">
        <f t="shared" si="205"/>
        <v>78.87</v>
      </c>
      <c r="H88" s="23">
        <f t="shared" si="222"/>
        <v>6.36</v>
      </c>
      <c r="I88" s="23">
        <f t="shared" si="206"/>
        <v>901.44</v>
      </c>
      <c r="J88" s="23">
        <f t="shared" si="223"/>
        <v>72</v>
      </c>
      <c r="K88" s="23">
        <f t="shared" si="207"/>
        <v>18.03</v>
      </c>
      <c r="L88" s="23">
        <f t="shared" si="224"/>
        <v>1.44</v>
      </c>
      <c r="M88" s="23">
        <f t="shared" si="208"/>
        <v>3025.02</v>
      </c>
      <c r="N88" s="23">
        <f t="shared" ref="N88:S88" si="229">E88</f>
        <v>1802.88</v>
      </c>
      <c r="O88" s="23">
        <f t="shared" si="229"/>
        <v>144</v>
      </c>
      <c r="P88" s="23">
        <f t="shared" si="229"/>
        <v>78.87</v>
      </c>
      <c r="Q88" s="23">
        <f t="shared" si="229"/>
        <v>6.36</v>
      </c>
      <c r="R88" s="23">
        <f t="shared" si="229"/>
        <v>901.44</v>
      </c>
      <c r="S88" s="23">
        <f t="shared" si="229"/>
        <v>72</v>
      </c>
      <c r="T88" s="23">
        <f t="shared" si="210"/>
        <v>901.44</v>
      </c>
      <c r="U88" s="23">
        <f t="shared" si="211"/>
        <v>72</v>
      </c>
      <c r="V88" s="23">
        <f t="shared" si="212"/>
        <v>33.81</v>
      </c>
      <c r="W88" s="23">
        <f t="shared" si="213"/>
        <v>2.64</v>
      </c>
      <c r="X88" s="23">
        <f t="shared" si="214"/>
        <v>225.36</v>
      </c>
      <c r="Y88" s="23">
        <f t="shared" si="215"/>
        <v>18</v>
      </c>
      <c r="Z88" s="23">
        <v>0</v>
      </c>
      <c r="AA88" s="23">
        <f t="shared" si="216"/>
        <v>18.03</v>
      </c>
      <c r="AB88" s="23">
        <f t="shared" si="217"/>
        <v>1.44</v>
      </c>
      <c r="AC88" s="23">
        <f t="shared" si="218"/>
        <v>4278.27</v>
      </c>
      <c r="AD88" s="23">
        <f t="shared" si="219"/>
        <v>5046.75</v>
      </c>
      <c r="AE88" s="23">
        <f t="shared" si="220"/>
        <v>9325.02</v>
      </c>
      <c r="AF88" s="24"/>
    </row>
    <row r="89" s="1" customFormat="1" ht="40" customHeight="1" spans="1:32">
      <c r="A89" s="21">
        <v>7</v>
      </c>
      <c r="B89" s="25" t="s">
        <v>115</v>
      </c>
      <c r="C89" s="21">
        <v>4</v>
      </c>
      <c r="D89" s="21">
        <f t="shared" si="203"/>
        <v>8400</v>
      </c>
      <c r="E89" s="23">
        <f t="shared" si="204"/>
        <v>2403.84</v>
      </c>
      <c r="F89" s="23">
        <f>12*4*C89+12*2*2</f>
        <v>240</v>
      </c>
      <c r="G89" s="23">
        <f t="shared" si="205"/>
        <v>105.16</v>
      </c>
      <c r="H89" s="23">
        <f>0.53*4*C89+0.53*2*2</f>
        <v>10.6</v>
      </c>
      <c r="I89" s="23">
        <f t="shared" si="206"/>
        <v>1201.92</v>
      </c>
      <c r="J89" s="23">
        <f>6*4*C89+6*2*2</f>
        <v>120</v>
      </c>
      <c r="K89" s="23">
        <f t="shared" si="207"/>
        <v>24.04</v>
      </c>
      <c r="L89" s="23">
        <f>0.12*4*C89+0.12*2*2</f>
        <v>2.4</v>
      </c>
      <c r="M89" s="23">
        <f t="shared" si="208"/>
        <v>4107.96</v>
      </c>
      <c r="N89" s="23">
        <f t="shared" ref="N89:S89" si="230">E89</f>
        <v>2403.84</v>
      </c>
      <c r="O89" s="23">
        <f t="shared" si="230"/>
        <v>240</v>
      </c>
      <c r="P89" s="23">
        <f t="shared" si="230"/>
        <v>105.16</v>
      </c>
      <c r="Q89" s="23">
        <f t="shared" si="230"/>
        <v>10.6</v>
      </c>
      <c r="R89" s="23">
        <f t="shared" si="230"/>
        <v>1201.92</v>
      </c>
      <c r="S89" s="23">
        <f t="shared" si="230"/>
        <v>120</v>
      </c>
      <c r="T89" s="23">
        <f t="shared" si="210"/>
        <v>1201.92</v>
      </c>
      <c r="U89" s="23">
        <f t="shared" si="211"/>
        <v>96</v>
      </c>
      <c r="V89" s="23">
        <f t="shared" si="212"/>
        <v>45.08</v>
      </c>
      <c r="W89" s="23">
        <f t="shared" si="213"/>
        <v>3.52</v>
      </c>
      <c r="X89" s="23">
        <f t="shared" si="214"/>
        <v>300.48</v>
      </c>
      <c r="Y89" s="23">
        <f t="shared" si="215"/>
        <v>24</v>
      </c>
      <c r="Z89" s="23">
        <v>0</v>
      </c>
      <c r="AA89" s="23">
        <f t="shared" si="216"/>
        <v>24.04</v>
      </c>
      <c r="AB89" s="23">
        <f t="shared" si="217"/>
        <v>2.4</v>
      </c>
      <c r="AC89" s="23">
        <f t="shared" si="218"/>
        <v>5778.96</v>
      </c>
      <c r="AD89" s="23">
        <f t="shared" si="219"/>
        <v>6729</v>
      </c>
      <c r="AE89" s="23">
        <f t="shared" si="220"/>
        <v>12507.96</v>
      </c>
      <c r="AF89" s="24"/>
    </row>
    <row r="90" s="1" customFormat="1" ht="40" customHeight="1" spans="1:32">
      <c r="A90" s="21">
        <v>8</v>
      </c>
      <c r="B90" s="25" t="s">
        <v>116</v>
      </c>
      <c r="C90" s="21">
        <v>7</v>
      </c>
      <c r="D90" s="21">
        <f t="shared" si="203"/>
        <v>14700</v>
      </c>
      <c r="E90" s="23">
        <f t="shared" si="204"/>
        <v>4206.72</v>
      </c>
      <c r="F90" s="23">
        <f>12*4*C90+12*3</f>
        <v>372</v>
      </c>
      <c r="G90" s="23">
        <f t="shared" si="205"/>
        <v>184.03</v>
      </c>
      <c r="H90" s="23">
        <f>0.53*4*C90+0.53*3</f>
        <v>16.43</v>
      </c>
      <c r="I90" s="23">
        <f t="shared" si="206"/>
        <v>2103.36</v>
      </c>
      <c r="J90" s="23">
        <f>6*4*C90+6*3</f>
        <v>186</v>
      </c>
      <c r="K90" s="23">
        <f t="shared" si="207"/>
        <v>42.07</v>
      </c>
      <c r="L90" s="23">
        <f>0.12*4*C90+0.12*3</f>
        <v>3.72</v>
      </c>
      <c r="M90" s="23">
        <f t="shared" si="208"/>
        <v>7114.33</v>
      </c>
      <c r="N90" s="23">
        <f t="shared" ref="N90:S90" si="231">E90</f>
        <v>4206.72</v>
      </c>
      <c r="O90" s="23">
        <f t="shared" si="231"/>
        <v>372</v>
      </c>
      <c r="P90" s="23">
        <f t="shared" si="231"/>
        <v>184.03</v>
      </c>
      <c r="Q90" s="23">
        <f t="shared" si="231"/>
        <v>16.43</v>
      </c>
      <c r="R90" s="23">
        <f t="shared" si="231"/>
        <v>2103.36</v>
      </c>
      <c r="S90" s="23">
        <f t="shared" si="231"/>
        <v>186</v>
      </c>
      <c r="T90" s="23">
        <f t="shared" si="210"/>
        <v>2103.36</v>
      </c>
      <c r="U90" s="23">
        <f t="shared" si="211"/>
        <v>168</v>
      </c>
      <c r="V90" s="23">
        <f t="shared" si="212"/>
        <v>78.89</v>
      </c>
      <c r="W90" s="23">
        <f t="shared" si="213"/>
        <v>6.16</v>
      </c>
      <c r="X90" s="23">
        <f t="shared" si="214"/>
        <v>525.84</v>
      </c>
      <c r="Y90" s="23">
        <f t="shared" si="215"/>
        <v>42</v>
      </c>
      <c r="Z90" s="23">
        <v>0</v>
      </c>
      <c r="AA90" s="23">
        <f t="shared" si="216"/>
        <v>42.07</v>
      </c>
      <c r="AB90" s="23">
        <f t="shared" si="217"/>
        <v>3.72</v>
      </c>
      <c r="AC90" s="23">
        <f t="shared" si="218"/>
        <v>10038.58</v>
      </c>
      <c r="AD90" s="23">
        <f t="shared" si="219"/>
        <v>11775.75</v>
      </c>
      <c r="AE90" s="23">
        <f t="shared" si="220"/>
        <v>21814.33</v>
      </c>
      <c r="AF90" s="24"/>
    </row>
    <row r="91" s="1" customFormat="1" ht="40" customHeight="1" spans="1:32">
      <c r="A91" s="21"/>
      <c r="B91" s="25" t="s">
        <v>107</v>
      </c>
      <c r="C91" s="21">
        <f t="shared" ref="C91:AE91" si="232">SUM(C83:C90)</f>
        <v>29</v>
      </c>
      <c r="D91" s="21">
        <f t="shared" si="232"/>
        <v>60900</v>
      </c>
      <c r="E91" s="21">
        <f t="shared" si="232"/>
        <v>17439.84</v>
      </c>
      <c r="F91" s="21">
        <f t="shared" si="232"/>
        <v>1476</v>
      </c>
      <c r="G91" s="21">
        <f t="shared" si="232"/>
        <v>762.94</v>
      </c>
      <c r="H91" s="21">
        <f t="shared" si="232"/>
        <v>65.19</v>
      </c>
      <c r="I91" s="21">
        <f t="shared" si="232"/>
        <v>8719.92</v>
      </c>
      <c r="J91" s="21">
        <f t="shared" si="232"/>
        <v>738</v>
      </c>
      <c r="K91" s="21">
        <f t="shared" si="232"/>
        <v>174.41</v>
      </c>
      <c r="L91" s="21">
        <f t="shared" si="232"/>
        <v>14.76</v>
      </c>
      <c r="M91" s="21">
        <f t="shared" si="232"/>
        <v>29391.06</v>
      </c>
      <c r="N91" s="21">
        <f t="shared" si="232"/>
        <v>17439.84</v>
      </c>
      <c r="O91" s="21">
        <f t="shared" si="232"/>
        <v>1476</v>
      </c>
      <c r="P91" s="21">
        <f t="shared" si="232"/>
        <v>762.94</v>
      </c>
      <c r="Q91" s="21">
        <f t="shared" si="232"/>
        <v>65.19</v>
      </c>
      <c r="R91" s="21">
        <f t="shared" si="232"/>
        <v>8719.92</v>
      </c>
      <c r="S91" s="21">
        <f t="shared" si="232"/>
        <v>738</v>
      </c>
      <c r="T91" s="21">
        <f t="shared" si="232"/>
        <v>8719.92</v>
      </c>
      <c r="U91" s="21">
        <f t="shared" si="232"/>
        <v>672</v>
      </c>
      <c r="V91" s="21">
        <f t="shared" si="232"/>
        <v>327.05</v>
      </c>
      <c r="W91" s="21">
        <f t="shared" si="232"/>
        <v>24.64</v>
      </c>
      <c r="X91" s="21">
        <f t="shared" si="232"/>
        <v>2179.98</v>
      </c>
      <c r="Y91" s="21">
        <f t="shared" si="232"/>
        <v>168</v>
      </c>
      <c r="Z91" s="21">
        <f t="shared" si="232"/>
        <v>0</v>
      </c>
      <c r="AA91" s="21">
        <f t="shared" si="232"/>
        <v>174.41</v>
      </c>
      <c r="AB91" s="21">
        <f t="shared" si="232"/>
        <v>14.76</v>
      </c>
      <c r="AC91" s="21">
        <f t="shared" si="232"/>
        <v>41482.65</v>
      </c>
      <c r="AD91" s="21">
        <f t="shared" si="232"/>
        <v>48808.41</v>
      </c>
      <c r="AE91" s="21">
        <f t="shared" si="232"/>
        <v>90291.06</v>
      </c>
      <c r="AF91" s="24"/>
    </row>
    <row r="92" s="1" customFormat="1" ht="40" customHeight="1" spans="1:32">
      <c r="A92" s="21"/>
      <c r="B92" s="25" t="s">
        <v>26</v>
      </c>
      <c r="C92" s="21">
        <f t="shared" ref="C92:AE92" si="233">C82+C91</f>
        <v>725</v>
      </c>
      <c r="D92" s="21">
        <f t="shared" si="233"/>
        <v>1522500</v>
      </c>
      <c r="E92" s="21">
        <f t="shared" si="233"/>
        <v>435840</v>
      </c>
      <c r="F92" s="21">
        <f t="shared" si="233"/>
        <v>35124</v>
      </c>
      <c r="G92" s="21">
        <f t="shared" si="233"/>
        <v>19066.61</v>
      </c>
      <c r="H92" s="21">
        <f t="shared" si="233"/>
        <v>1551.31</v>
      </c>
      <c r="I92" s="21">
        <f t="shared" si="233"/>
        <v>217920</v>
      </c>
      <c r="J92" s="21">
        <f t="shared" si="233"/>
        <v>17562</v>
      </c>
      <c r="K92" s="21">
        <f t="shared" si="233"/>
        <v>4791.25000000001</v>
      </c>
      <c r="L92" s="21">
        <f t="shared" si="233"/>
        <v>387.6</v>
      </c>
      <c r="M92" s="21">
        <f t="shared" si="233"/>
        <v>732242.77</v>
      </c>
      <c r="N92" s="21">
        <f t="shared" si="233"/>
        <v>435840</v>
      </c>
      <c r="O92" s="21">
        <f t="shared" si="233"/>
        <v>35124</v>
      </c>
      <c r="P92" s="21">
        <f t="shared" si="233"/>
        <v>19066.61</v>
      </c>
      <c r="Q92" s="21">
        <f t="shared" si="233"/>
        <v>1551.31</v>
      </c>
      <c r="R92" s="21">
        <f t="shared" si="233"/>
        <v>217920</v>
      </c>
      <c r="S92" s="21">
        <f t="shared" si="233"/>
        <v>17562</v>
      </c>
      <c r="T92" s="21">
        <f t="shared" si="233"/>
        <v>217920</v>
      </c>
      <c r="U92" s="21">
        <f t="shared" si="233"/>
        <v>16908</v>
      </c>
      <c r="V92" s="21">
        <f t="shared" si="233"/>
        <v>8173.39000000001</v>
      </c>
      <c r="W92" s="21">
        <f t="shared" si="233"/>
        <v>619.96</v>
      </c>
      <c r="X92" s="21">
        <f t="shared" si="233"/>
        <v>54480</v>
      </c>
      <c r="Y92" s="21">
        <f t="shared" si="233"/>
        <v>4227</v>
      </c>
      <c r="Z92" s="21">
        <f t="shared" si="233"/>
        <v>0</v>
      </c>
      <c r="AA92" s="21">
        <f t="shared" si="233"/>
        <v>4791.25000000001</v>
      </c>
      <c r="AB92" s="21">
        <f t="shared" si="233"/>
        <v>387.6</v>
      </c>
      <c r="AC92" s="21">
        <f t="shared" si="233"/>
        <v>1034571.12</v>
      </c>
      <c r="AD92" s="21">
        <f t="shared" si="233"/>
        <v>1220171.65</v>
      </c>
      <c r="AE92" s="21">
        <f t="shared" si="233"/>
        <v>2254742.77</v>
      </c>
      <c r="AF92" s="24"/>
    </row>
  </sheetData>
  <mergeCells count="10">
    <mergeCell ref="A1:AF1"/>
    <mergeCell ref="E2:M2"/>
    <mergeCell ref="N2:AC2"/>
    <mergeCell ref="A2:A3"/>
    <mergeCell ref="B2:B3"/>
    <mergeCell ref="C2:C3"/>
    <mergeCell ref="D2:D3"/>
    <mergeCell ref="AD2:AD3"/>
    <mergeCell ref="AE2:AE3"/>
    <mergeCell ref="AF2:AF3"/>
  </mergeCells>
  <pageMargins left="0.236111111111111" right="0.156944444444444" top="0.196527777777778" bottom="0.472222222222222" header="0.5" footer="0.5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2025-11-05T07:08:00Z</dcterms:created>
  <dcterms:modified xsi:type="dcterms:W3CDTF">2025-11-07T03:17:47Z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3DBFF9F4289843D5AFD9676A8B0C787E_13</vt:lpwstr>
  </property>
  <property fmtid="{D5CDD505-2E9C-101B-9397-08002B2CF9AE}" pid="3" name="KSOProductBuildVer">
    <vt:lpwstr>2052-12.1.0.23542</vt:lpwstr>
  </property>
</Properties>
</file>